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0" windowWidth="11340" windowHeight="6030"/>
  </bookViews>
  <sheets>
    <sheet name="SP02-26" sheetId="1" r:id="rId1"/>
    <sheet name="Given P02-26" sheetId="2" r:id="rId2"/>
    <sheet name="SP02-27" sheetId="12" r:id="rId3"/>
    <sheet name="Given P02-27" sheetId="10" r:id="rId4"/>
    <sheet name="SP02-32" sheetId="8" r:id="rId5"/>
    <sheet name="Given P02-32" sheetId="9" r:id="rId6"/>
  </sheets>
  <definedNames>
    <definedName name="_xlnm.Print_Area" localSheetId="4">'SP02-32'!$A$1:$L$38</definedName>
    <definedName name="_xlnm.Print_Titles" localSheetId="0">'SP02-26'!$1:$4</definedName>
    <definedName name="_xlnm.Print_Titles" localSheetId="2">'SP02-27'!$1:$4</definedName>
    <definedName name="_xlnm.Print_Titles" localSheetId="4">'SP02-32'!$1:$4</definedName>
  </definedNames>
  <calcPr calcId="145621" fullCalcOnLoad="1"/>
</workbook>
</file>

<file path=xl/calcChain.xml><?xml version="1.0" encoding="utf-8"?>
<calcChain xmlns="http://schemas.openxmlformats.org/spreadsheetml/2006/main">
  <c r="G46" i="1" l="1"/>
  <c r="G45" i="1"/>
  <c r="K25" i="8"/>
  <c r="L25" i="8"/>
  <c r="K35" i="8"/>
  <c r="L35" i="8"/>
  <c r="K34" i="8"/>
  <c r="L34" i="8"/>
  <c r="K33" i="8"/>
  <c r="L33" i="8"/>
  <c r="K32" i="8"/>
  <c r="L32" i="8"/>
  <c r="K29" i="8"/>
  <c r="L29" i="8"/>
  <c r="K28" i="8"/>
  <c r="L28" i="8"/>
  <c r="K27" i="8"/>
  <c r="L27" i="8"/>
  <c r="K24" i="8"/>
  <c r="L24" i="8"/>
  <c r="K23" i="8"/>
  <c r="L23" i="8"/>
  <c r="K22" i="8"/>
  <c r="L22" i="8"/>
  <c r="K18" i="8"/>
  <c r="K17" i="8"/>
  <c r="K16" i="8"/>
  <c r="K19" i="8"/>
  <c r="K20" i="8"/>
  <c r="K13" i="8"/>
  <c r="K12" i="8"/>
  <c r="K14" i="8"/>
  <c r="J37" i="8"/>
  <c r="J38" i="8"/>
  <c r="H37" i="8"/>
  <c r="H38" i="8"/>
  <c r="E19" i="8"/>
  <c r="E36" i="8"/>
  <c r="E14" i="8"/>
  <c r="E35" i="9"/>
  <c r="E30" i="9"/>
  <c r="D35" i="9"/>
  <c r="D30" i="9"/>
  <c r="D21" i="9"/>
  <c r="D24" i="9" s="1"/>
  <c r="D18" i="9"/>
  <c r="D20" i="9" s="1"/>
  <c r="J121" i="1"/>
  <c r="K121" i="1"/>
  <c r="J117" i="1"/>
  <c r="K117" i="1"/>
  <c r="J112" i="1"/>
  <c r="J111" i="1"/>
  <c r="J110" i="1"/>
  <c r="J109" i="1"/>
  <c r="J108" i="1"/>
  <c r="I122" i="1"/>
  <c r="I123" i="1"/>
  <c r="G122" i="1"/>
  <c r="G123" i="1"/>
  <c r="D120" i="1"/>
  <c r="J120" i="1"/>
  <c r="K120" i="1"/>
  <c r="D118" i="1"/>
  <c r="J118" i="1"/>
  <c r="D107" i="1"/>
  <c r="J107" i="1"/>
  <c r="D89" i="1"/>
  <c r="D86" i="1"/>
  <c r="D83" i="1"/>
  <c r="D80" i="1"/>
  <c r="G52" i="1"/>
  <c r="F14" i="1"/>
  <c r="F13" i="1"/>
  <c r="F15" i="1"/>
  <c r="F16" i="1"/>
  <c r="F37" i="8"/>
  <c r="F38" i="8"/>
  <c r="F30" i="8"/>
  <c r="E30" i="8"/>
  <c r="D36" i="1"/>
  <c r="F36" i="1"/>
  <c r="D32" i="1"/>
  <c r="F32" i="1"/>
  <c r="E122" i="1"/>
  <c r="E115" i="1"/>
  <c r="K112" i="1"/>
  <c r="K111" i="1"/>
  <c r="K110" i="1"/>
  <c r="K109" i="1"/>
  <c r="K108" i="1"/>
  <c r="E28" i="1"/>
  <c r="E27" i="1"/>
  <c r="D119" i="1"/>
  <c r="D91" i="1"/>
  <c r="D92" i="1"/>
  <c r="D94" i="1"/>
  <c r="D95" i="1"/>
  <c r="D73" i="1"/>
  <c r="D74" i="1"/>
  <c r="D70" i="1"/>
  <c r="D71" i="1"/>
  <c r="D67" i="1"/>
  <c r="D68" i="1"/>
  <c r="D76" i="1"/>
  <c r="D77" i="1"/>
  <c r="G9" i="12"/>
  <c r="G10" i="12"/>
  <c r="E13" i="12"/>
  <c r="E14" i="12"/>
  <c r="E15" i="12"/>
  <c r="E16" i="12"/>
  <c r="G36" i="12"/>
  <c r="J36" i="12"/>
  <c r="G17" i="12"/>
  <c r="I30" i="12"/>
  <c r="F36" i="10"/>
  <c r="E36" i="10"/>
  <c r="F29" i="10"/>
  <c r="E29" i="10"/>
  <c r="D58" i="1"/>
  <c r="D59" i="1"/>
  <c r="D61" i="1"/>
  <c r="D62" i="1"/>
  <c r="D64" i="1"/>
  <c r="D65" i="1"/>
  <c r="G43" i="12"/>
  <c r="J43" i="12"/>
  <c r="E68" i="12"/>
  <c r="G42" i="12"/>
  <c r="J42" i="12"/>
  <c r="E67" i="12"/>
  <c r="J41" i="12"/>
  <c r="E66" i="12"/>
  <c r="J40" i="12"/>
  <c r="E65" i="12"/>
  <c r="G35" i="12"/>
  <c r="J35" i="12"/>
  <c r="I34" i="12"/>
  <c r="J34" i="12"/>
  <c r="J33" i="12"/>
  <c r="E57" i="12"/>
  <c r="G32" i="12"/>
  <c r="J32" i="12"/>
  <c r="J29" i="12"/>
  <c r="E55" i="12"/>
  <c r="J28" i="12"/>
  <c r="E54" i="12"/>
  <c r="J27" i="12"/>
  <c r="E53" i="12"/>
  <c r="K41" i="12"/>
  <c r="K40" i="12"/>
  <c r="G44" i="12"/>
  <c r="J44" i="12"/>
  <c r="E69" i="12"/>
  <c r="E45" i="12"/>
  <c r="D45" i="12"/>
  <c r="K33" i="12"/>
  <c r="K29" i="12"/>
  <c r="K28" i="12"/>
  <c r="K27" i="12"/>
  <c r="E38" i="12"/>
  <c r="D38" i="12"/>
  <c r="K32" i="12"/>
  <c r="E56" i="12"/>
  <c r="K42" i="12"/>
  <c r="J45" i="12"/>
  <c r="K45" i="12"/>
  <c r="K44" i="12"/>
  <c r="K34" i="12"/>
  <c r="E58" i="12"/>
  <c r="K35" i="12"/>
  <c r="E59" i="12"/>
  <c r="K43" i="12"/>
  <c r="G43" i="1"/>
  <c r="G54" i="1"/>
  <c r="G55" i="1" s="1"/>
  <c r="K30" i="8"/>
  <c r="G18" i="12"/>
  <c r="I31" i="12"/>
  <c r="J30" i="12"/>
  <c r="H10" i="12"/>
  <c r="K118" i="1"/>
  <c r="E70" i="12"/>
  <c r="F70" i="12"/>
  <c r="I45" i="12"/>
  <c r="I46" i="12"/>
  <c r="K36" i="12"/>
  <c r="E60" i="12"/>
  <c r="J119" i="1"/>
  <c r="K119" i="1"/>
  <c r="D122" i="1"/>
  <c r="K107" i="1"/>
  <c r="K36" i="8"/>
  <c r="E37" i="8"/>
  <c r="E38" i="8"/>
  <c r="D113" i="1"/>
  <c r="E20" i="8"/>
  <c r="D25" i="1"/>
  <c r="F25" i="1"/>
  <c r="E62" i="12"/>
  <c r="F62" i="12"/>
  <c r="E61" i="12"/>
  <c r="H18" i="12"/>
  <c r="G37" i="12"/>
  <c r="J114" i="1"/>
  <c r="D115" i="1"/>
  <c r="K37" i="8"/>
  <c r="K38" i="8"/>
  <c r="L36" i="8"/>
  <c r="J122" i="1"/>
  <c r="K122" i="1"/>
  <c r="K30" i="12"/>
  <c r="J37" i="12"/>
  <c r="G45" i="12"/>
  <c r="G46" i="12"/>
  <c r="K114" i="1"/>
  <c r="J115" i="1"/>
  <c r="K115" i="1"/>
  <c r="K37" i="12"/>
  <c r="J38" i="12"/>
  <c r="K38" i="12"/>
</calcChain>
</file>

<file path=xl/comments1.xml><?xml version="1.0" encoding="utf-8"?>
<comments xmlns="http://schemas.openxmlformats.org/spreadsheetml/2006/main">
  <authors>
    <author>x</author>
  </authors>
  <commentList>
    <comment ref="B25" authorId="0">
      <text>
        <r>
          <rPr>
            <sz val="8"/>
            <color indexed="81"/>
            <rFont val="Tahoma"/>
            <family val="2"/>
          </rPr>
          <t xml:space="preserve">Enter appropriate data in yellow cells.  Your entries will </t>
        </r>
        <r>
          <rPr>
            <u/>
            <sz val="8"/>
            <color indexed="81"/>
            <rFont val="Tahoma"/>
            <family val="2"/>
          </rPr>
          <t>not</t>
        </r>
        <r>
          <rPr>
            <sz val="8"/>
            <color indexed="81"/>
            <rFont val="Tahoma"/>
            <family val="2"/>
          </rPr>
          <t xml:space="preserve"> be verified.</t>
        </r>
      </text>
    </comment>
    <comment ref="G43" authorId="0">
      <text>
        <r>
          <rPr>
            <sz val="8"/>
            <color indexed="81"/>
            <rFont val="Tahoma"/>
            <family val="2"/>
          </rPr>
          <t xml:space="preserve">Enter appropriate data in yellow cells.  Your entry for "Bargain purchase" will </t>
        </r>
        <r>
          <rPr>
            <sz val="8"/>
            <color indexed="81"/>
            <rFont val="Tahoma"/>
            <family val="2"/>
          </rPr>
          <t>be verified.</t>
        </r>
      </text>
    </comment>
    <comment ref="D58" authorId="0">
      <text>
        <r>
          <rPr>
            <sz val="8"/>
            <color indexed="81"/>
            <rFont val="Arial"/>
            <family val="2"/>
          </rPr>
          <t>Enter appropriate data in yellow cells.  Your entries will be verified.  Liabilities and equity accounts are negative.</t>
        </r>
      </text>
    </comment>
    <comment ref="E58" authorId="0">
      <text>
        <r>
          <rPr>
            <sz val="8"/>
            <color indexed="81"/>
            <rFont val="Arial"/>
            <family val="2"/>
          </rPr>
          <t>Enter a short explanation in the space provided.</t>
        </r>
      </text>
    </comment>
    <comment ref="D107" authorId="0">
      <text>
        <r>
          <rPr>
            <sz val="8"/>
            <color indexed="81"/>
            <rFont val="Tahoma"/>
            <family val="2"/>
          </rPr>
          <t>Enter appropriate data in yellow cells.
Adjust Lee's accounts for acquisition entries.</t>
        </r>
      </text>
    </comment>
    <comment ref="F107" authorId="0">
      <text>
        <r>
          <rPr>
            <sz val="8"/>
            <color indexed="81"/>
            <rFont val="Tahoma"/>
            <family val="2"/>
          </rPr>
          <t>Using the dropdown list, enter a notation in this column to indicate:
[A] - Allocations made in connection
        with parent's purchase price
[S] - Reference to beginning 
        subsidiary Stockholders' equity</t>
        </r>
      </text>
    </comment>
    <comment ref="G107" authorId="0">
      <text>
        <r>
          <rPr>
            <sz val="8"/>
            <color indexed="81"/>
            <rFont val="Tahoma"/>
            <family val="2"/>
          </rPr>
          <t>Enter consolidation entries in the yellow cells in this column.  The consolidated totals are verified.</t>
        </r>
      </text>
    </comment>
    <comment ref="H107" authorId="0">
      <text>
        <r>
          <rPr>
            <sz val="8"/>
            <color indexed="81"/>
            <rFont val="Tahoma"/>
            <family val="2"/>
          </rPr>
          <t>Using the dropdown list, enter a notation in this column to indicate:
[A] - Allocations made in connection
        with parent's purchase price
[S] - Reference to beginning 
        subsidiary Stockholders' equity</t>
        </r>
      </text>
    </comment>
    <comment ref="I107" authorId="0">
      <text>
        <r>
          <rPr>
            <sz val="8"/>
            <color indexed="81"/>
            <rFont val="Tahoma"/>
            <family val="2"/>
          </rPr>
          <t>Enter consolidation entries in the yellow cells in this column.  The consolidated totals are verified.</t>
        </r>
      </text>
    </comment>
    <comment ref="J107" authorId="0">
      <text>
        <r>
          <rPr>
            <sz val="8"/>
            <color indexed="81"/>
            <rFont val="Tahoma"/>
            <family val="2"/>
          </rPr>
          <t>The entries in this column should be formulas.  The  results are verified.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G8" authorId="0">
      <text>
        <r>
          <rPr>
            <sz val="8"/>
            <color indexed="81"/>
            <rFont val="Tahoma"/>
            <family val="2"/>
          </rPr>
          <t>Enter appropriate data in yellow cells.  Your entries for "Excess cost over book value" and "Goodwill" will be verified.</t>
        </r>
      </text>
    </comment>
  </commentList>
</comments>
</file>

<file path=xl/comments3.xml><?xml version="1.0" encoding="utf-8"?>
<comments xmlns="http://schemas.openxmlformats.org/spreadsheetml/2006/main">
  <authors>
    <author>x</author>
  </authors>
  <commentList>
    <comment ref="E22" authorId="0">
      <text>
        <r>
          <rPr>
            <sz val="8"/>
            <color indexed="81"/>
            <rFont val="Tahoma"/>
            <family val="2"/>
          </rPr>
          <t>Enter appropriate data in yellow cells.
Adjust Merrill's accounts for acquisition entries.</t>
        </r>
      </text>
    </comment>
    <comment ref="G22" authorId="0">
      <text>
        <r>
          <rPr>
            <sz val="8"/>
            <color indexed="81"/>
            <rFont val="Tahoma"/>
            <family val="2"/>
          </rPr>
          <t>Using the dropdown list, enter a notation in this column to indicate:
[A] - Allocations made in connection
        with parent's purchase price
[S] - Reference to beginning 
        subsidiary Stockholders' equity</t>
        </r>
      </text>
    </comment>
    <comment ref="H22" authorId="0">
      <text>
        <r>
          <rPr>
            <sz val="8"/>
            <color indexed="81"/>
            <rFont val="Tahoma"/>
            <family val="2"/>
          </rPr>
          <t>Enter consolidation entries in the yellow cells in this column.  The consolidated totals are verified.</t>
        </r>
      </text>
    </comment>
    <comment ref="I22" authorId="0">
      <text>
        <r>
          <rPr>
            <sz val="8"/>
            <color indexed="81"/>
            <rFont val="Tahoma"/>
            <family val="2"/>
          </rPr>
          <t>Using the dropdown list, enter a notation in this column to indicate:
[A] - Allocations made in connection
        with parent's purchase price
[S] - Reference to beginning 
        subsidiary Stockholders' equity</t>
        </r>
      </text>
    </comment>
    <comment ref="J22" authorId="0">
      <text>
        <r>
          <rPr>
            <sz val="8"/>
            <color indexed="81"/>
            <rFont val="Tahoma"/>
            <family val="2"/>
          </rPr>
          <t>Enter consolidation entries in the yellow cells in this column.  The consolidated totals are verified.</t>
        </r>
      </text>
    </comment>
    <comment ref="K22" authorId="0">
      <text>
        <r>
          <rPr>
            <sz val="8"/>
            <color indexed="81"/>
            <rFont val="Tahoma"/>
            <family val="2"/>
          </rPr>
          <t>The entries in this column are formulas and should not be edited.  The  results are verified.</t>
        </r>
      </text>
    </comment>
    <comment ref="K23" authorId="0">
      <text>
        <r>
          <rPr>
            <sz val="8"/>
            <color indexed="81"/>
            <rFont val="Tahoma"/>
            <family val="2"/>
          </rPr>
          <t>The entries in this column are formulas and should not be edited.  The  results are verified.</t>
        </r>
      </text>
    </comment>
    <comment ref="K24" authorId="0">
      <text>
        <r>
          <rPr>
            <sz val="8"/>
            <color indexed="81"/>
            <rFont val="Tahoma"/>
            <family val="2"/>
          </rPr>
          <t>The entries in this column are formulas and should not be edited.  The  results are verified.</t>
        </r>
      </text>
    </comment>
    <comment ref="K25" authorId="0">
      <text>
        <r>
          <rPr>
            <sz val="8"/>
            <color indexed="81"/>
            <rFont val="Tahoma"/>
            <family val="2"/>
          </rPr>
          <t>The entries in this column are formulas and should not be edited.  The  results are verified.</t>
        </r>
      </text>
    </comment>
    <comment ref="K27" authorId="0">
      <text>
        <r>
          <rPr>
            <sz val="8"/>
            <color indexed="81"/>
            <rFont val="Tahoma"/>
            <family val="2"/>
          </rPr>
          <t>The entries in this column are formulas and should not be edited.  The  results are verified.</t>
        </r>
      </text>
    </comment>
    <comment ref="K28" authorId="0">
      <text>
        <r>
          <rPr>
            <sz val="8"/>
            <color indexed="81"/>
            <rFont val="Tahoma"/>
            <family val="2"/>
          </rPr>
          <t>The entries in this column are formulas and should not be edited.  The  results are verified.</t>
        </r>
      </text>
    </comment>
    <comment ref="K29" authorId="0">
      <text>
        <r>
          <rPr>
            <sz val="8"/>
            <color indexed="81"/>
            <rFont val="Tahoma"/>
            <family val="2"/>
          </rPr>
          <t>The entries in this column are formulas and should not be edited.  The  results are verified.</t>
        </r>
      </text>
    </comment>
    <comment ref="K32" authorId="0">
      <text>
        <r>
          <rPr>
            <sz val="8"/>
            <color indexed="81"/>
            <rFont val="Tahoma"/>
            <family val="2"/>
          </rPr>
          <t>The entries in this column are formulas and should not be edited.  The  results are verified.</t>
        </r>
      </text>
    </comment>
    <comment ref="K33" authorId="0">
      <text>
        <r>
          <rPr>
            <sz val="8"/>
            <color indexed="81"/>
            <rFont val="Tahoma"/>
            <family val="2"/>
          </rPr>
          <t>The entries in this column are formulas and should not be edited.  The  results are verified.</t>
        </r>
      </text>
    </comment>
    <comment ref="K34" authorId="0">
      <text>
        <r>
          <rPr>
            <sz val="8"/>
            <color indexed="81"/>
            <rFont val="Tahoma"/>
            <family val="2"/>
          </rPr>
          <t>The entries in this column are formulas and should not be edited.  The  results are verified.</t>
        </r>
      </text>
    </comment>
    <comment ref="K35" authorId="0">
      <text>
        <r>
          <rPr>
            <sz val="8"/>
            <color indexed="81"/>
            <rFont val="Tahoma"/>
            <family val="2"/>
          </rPr>
          <t>The entries in this column are formulas and should not be edited.  The  results are verified.</t>
        </r>
      </text>
    </comment>
    <comment ref="K36" authorId="0">
      <text>
        <r>
          <rPr>
            <sz val="8"/>
            <color indexed="81"/>
            <rFont val="Tahoma"/>
            <family val="2"/>
          </rPr>
          <t>The entries in this column are formulas and should not be edited.  The  results are verified.</t>
        </r>
      </text>
    </comment>
  </commentList>
</comments>
</file>

<file path=xl/sharedStrings.xml><?xml version="1.0" encoding="utf-8"?>
<sst xmlns="http://schemas.openxmlformats.org/spreadsheetml/2006/main" count="328" uniqueCount="177">
  <si>
    <t>Student Name:</t>
  </si>
  <si>
    <t>Instructor</t>
  </si>
  <si>
    <t>Class:</t>
  </si>
  <si>
    <t xml:space="preserve">  for acquisition - number of shares</t>
  </si>
  <si>
    <t>Cash</t>
  </si>
  <si>
    <t>Receivables</t>
  </si>
  <si>
    <t>Inventory</t>
  </si>
  <si>
    <t>Land</t>
  </si>
  <si>
    <t>Buildings (net)</t>
  </si>
  <si>
    <t>Equipment (net)</t>
  </si>
  <si>
    <t>Accounts payable</t>
  </si>
  <si>
    <t>Long-term liabilities</t>
  </si>
  <si>
    <t>Value</t>
  </si>
  <si>
    <t>General Journal</t>
  </si>
  <si>
    <t>Account</t>
  </si>
  <si>
    <t>Debit</t>
  </si>
  <si>
    <t>Credit</t>
  </si>
  <si>
    <t xml:space="preserve">  Cash</t>
  </si>
  <si>
    <t xml:space="preserve">  Additional Paid-In Capital</t>
  </si>
  <si>
    <t>Additional Paid-In Capital</t>
  </si>
  <si>
    <t>Buildings</t>
  </si>
  <si>
    <t>Equipment</t>
  </si>
  <si>
    <t>Goodwill</t>
  </si>
  <si>
    <t>Accounts</t>
  </si>
  <si>
    <t>Company</t>
  </si>
  <si>
    <t>Common stock - $1 par</t>
  </si>
  <si>
    <t>Additional paid-in capital</t>
  </si>
  <si>
    <t>Book</t>
  </si>
  <si>
    <t>Account Name</t>
  </si>
  <si>
    <t>Explanation</t>
  </si>
  <si>
    <t>Balance</t>
  </si>
  <si>
    <t>Add the two book values.</t>
  </si>
  <si>
    <t>Accounts Payable</t>
  </si>
  <si>
    <t>Long-term Liabilities</t>
  </si>
  <si>
    <t>Common Stock</t>
  </si>
  <si>
    <t>Retained Earnings</t>
  </si>
  <si>
    <t xml:space="preserve">  Common Stock (par value)</t>
  </si>
  <si>
    <t>Book value (assets minus liabilities</t>
  </si>
  <si>
    <t xml:space="preserve">Allocation to specific accounts based on </t>
  </si>
  <si>
    <t xml:space="preserve">    Inventory</t>
  </si>
  <si>
    <t xml:space="preserve">    Land</t>
  </si>
  <si>
    <t xml:space="preserve">    Buildings</t>
  </si>
  <si>
    <t>Total Liabilities &amp; Equity</t>
  </si>
  <si>
    <t>Total Assets</t>
  </si>
  <si>
    <t>Common stock</t>
  </si>
  <si>
    <t>Consolidation Worksheet</t>
  </si>
  <si>
    <t>Consolidation Entries</t>
  </si>
  <si>
    <t>Consolidated</t>
  </si>
  <si>
    <t>Totals</t>
  </si>
  <si>
    <t>[A]</t>
  </si>
  <si>
    <t>[S]</t>
  </si>
  <si>
    <t>Common stock - $20 par</t>
  </si>
  <si>
    <t>Additional paid-In capital</t>
  </si>
  <si>
    <t>Retained earnings</t>
  </si>
  <si>
    <t>- Purchase price and account allocation</t>
  </si>
  <si>
    <t xml:space="preserve">  Long-Term Liabilities</t>
  </si>
  <si>
    <t>Pratt</t>
  </si>
  <si>
    <t xml:space="preserve">  acquired by Pratt Company</t>
  </si>
  <si>
    <t>Cash paid by Pratt for acquisition</t>
  </si>
  <si>
    <t>Assessment of Spider's fair and book value differences:</t>
  </si>
  <si>
    <t>Computer software</t>
  </si>
  <si>
    <t>Client contracts</t>
  </si>
  <si>
    <t>In-process research and development</t>
  </si>
  <si>
    <t>Notes payable</t>
  </si>
  <si>
    <t>Fair</t>
  </si>
  <si>
    <t>Total assets</t>
  </si>
  <si>
    <t>Total liabilities and equities</t>
  </si>
  <si>
    <t>Spider, Inc. outstanding stock</t>
  </si>
  <si>
    <t xml:space="preserve">  -to Computer software</t>
  </si>
  <si>
    <t xml:space="preserve">  -to Client contracts</t>
  </si>
  <si>
    <t xml:space="preserve">  -to Equipment</t>
  </si>
  <si>
    <t xml:space="preserve">  -to Notes payable</t>
  </si>
  <si>
    <t>PRATT COMPANY AND SPIDER, INC.</t>
  </si>
  <si>
    <t>Consolidated Balance Sheet</t>
  </si>
  <si>
    <t>(To record payment of stock issuance costs)</t>
  </si>
  <si>
    <t>Summation of the above individual figures.</t>
  </si>
  <si>
    <t>Summation of the above figures.</t>
  </si>
  <si>
    <t>Book value</t>
  </si>
  <si>
    <t>Marshall</t>
  </si>
  <si>
    <t>Tucker</t>
  </si>
  <si>
    <t>MARSHALL COMPANY AND CONSOLIDATED SUBSIDIARY</t>
  </si>
  <si>
    <t>Add the two book values</t>
  </si>
  <si>
    <t>Investment in Tucker</t>
  </si>
  <si>
    <t xml:space="preserve">  Gain on Bargain Purchase</t>
  </si>
  <si>
    <t>Consideration transferred at fair value</t>
  </si>
  <si>
    <t xml:space="preserve">  fair value:</t>
  </si>
  <si>
    <t>Fair value of consideration transferred</t>
  </si>
  <si>
    <t>Fair value of net assets acquired</t>
  </si>
  <si>
    <t>Gain on bargain purchase</t>
  </si>
  <si>
    <t>MARSHALL COMPANY</t>
  </si>
  <si>
    <t>Part b.   Marshall and Tucker Consolidated Worksheet</t>
  </si>
  <si>
    <t>Part a.  Marshall and Tucker Consolidated Balances</t>
  </si>
  <si>
    <t>Add the two book values, plus the fair value adjustment.</t>
  </si>
  <si>
    <t>Values</t>
  </si>
  <si>
    <t>Investment in Spider</t>
  </si>
  <si>
    <t>Spider</t>
  </si>
  <si>
    <t>Excess fair over book value</t>
  </si>
  <si>
    <t>Allocation of excess fair value to</t>
  </si>
  <si>
    <t xml:space="preserve">  specific assets and liabilities</t>
  </si>
  <si>
    <t>Spicer</t>
  </si>
  <si>
    <t>PRATT COMPANY AND SUBSIDIARY</t>
  </si>
  <si>
    <t>Tucker Company outstanding common stock</t>
  </si>
  <si>
    <t xml:space="preserve">  acquired by Marshall Company</t>
  </si>
  <si>
    <t>Long-term liabilities issued by Marshall for acquisition</t>
  </si>
  <si>
    <t>Marshall Company's $1 par common stock issued</t>
  </si>
  <si>
    <t>Fair market value of Marshall stock</t>
  </si>
  <si>
    <t>Fees paid by Marshall for arranging acquisition</t>
  </si>
  <si>
    <t>Stock issuance costs paid by Marshall</t>
  </si>
  <si>
    <t>Tucker Company inventory - undervalued</t>
  </si>
  <si>
    <t>Tucker Company land - undervalued</t>
  </si>
  <si>
    <t>Tucker Company buildings - undervalued</t>
  </si>
  <si>
    <t>PRATT COMPANY</t>
  </si>
  <si>
    <t>(To record liabilities and stock issued for Tucker acquisition fair value)</t>
  </si>
  <si>
    <t>Professional Services Exp.</t>
  </si>
  <si>
    <t>(To record payment of professional fees)</t>
  </si>
  <si>
    <t xml:space="preserve">   or stockholders' equity)</t>
  </si>
  <si>
    <t xml:space="preserve">   Book value in excess of consideration transferred</t>
  </si>
  <si>
    <t>The parent's book value after stock issue to acquire the subsidiary.</t>
  </si>
  <si>
    <t>The parent's book value after the stock issue to acquire the subsidiary less the stock issue costs.</t>
  </si>
  <si>
    <t>Parent company balance less $30,000 in professional services expense plus $115,000 gain on bargain purchase.</t>
  </si>
  <si>
    <t xml:space="preserve">   Total assets</t>
  </si>
  <si>
    <t xml:space="preserve">  Total liab. and owners' equity</t>
  </si>
  <si>
    <t xml:space="preserve">  Total assets</t>
  </si>
  <si>
    <t>Add the two book values plus the debt incurred by the parent in acquiring the subsidiary.</t>
  </si>
  <si>
    <t>December 31, 2013 Financial Information</t>
  </si>
  <si>
    <t xml:space="preserve">   Total liabilities and equities</t>
  </si>
  <si>
    <t>Assets</t>
  </si>
  <si>
    <t>Liabilities and Owners' Equity</t>
  </si>
  <si>
    <t>Seguros Company outstanding voting shares</t>
  </si>
  <si>
    <t>Seguros Company</t>
  </si>
  <si>
    <t>Seguros</t>
  </si>
  <si>
    <t>Investment in Seguros</t>
  </si>
  <si>
    <t xml:space="preserve">  acquired by Pacifica Inc.</t>
  </si>
  <si>
    <t>Stock issuance costs paid by Pacifica</t>
  </si>
  <si>
    <t>Pacifica, Inc.</t>
  </si>
  <si>
    <t>Pacifica,</t>
  </si>
  <si>
    <t>Pacifica Company's $5 par common stock issued</t>
  </si>
  <si>
    <t>Revenues</t>
  </si>
  <si>
    <t>Expenses</t>
  </si>
  <si>
    <t xml:space="preserve">   Net income</t>
  </si>
  <si>
    <t>Net income</t>
  </si>
  <si>
    <t>Dividends paid</t>
  </si>
  <si>
    <t>Receivables and inventory</t>
  </si>
  <si>
    <t>Property, plant, and equipment</t>
  </si>
  <si>
    <t>Liabilities</t>
  </si>
  <si>
    <t>Fair value of Seguros R &amp; D project</t>
  </si>
  <si>
    <t>Legal fees paid by Pacifica in connection with acquisition</t>
  </si>
  <si>
    <t>Market value of Pacifica stock at acquisition date</t>
  </si>
  <si>
    <t>Cash paid by Pacifica when Seguros meets certain goals</t>
  </si>
  <si>
    <t>Discount rate used to represent time value of money</t>
  </si>
  <si>
    <t>Trademarks</t>
  </si>
  <si>
    <t>Part C only:</t>
  </si>
  <si>
    <t>Retained earnings, 1/1</t>
  </si>
  <si>
    <t>Retained earnings, 12/31</t>
  </si>
  <si>
    <t>Property, plant and Equipment</t>
  </si>
  <si>
    <t>Research and development asset</t>
  </si>
  <si>
    <t>Contingent performance obligation</t>
  </si>
  <si>
    <t>PACIFICA, INC., AND SEGUROS CO.</t>
  </si>
  <si>
    <t>Marshall's acquisition of Tucker represents a bargain purchase because the fair value of the net assets acquired exceeds the fair value of the consideration transferred as follows:</t>
  </si>
  <si>
    <t>Record three transactions that occurred to create the business combination:</t>
  </si>
  <si>
    <t>Marshall's trial balance is adjusted for the transactions (as shown in the worksheet that follows).</t>
  </si>
  <si>
    <t>McGraw-Hill</t>
  </si>
  <si>
    <t>Given Data P02-32:</t>
  </si>
  <si>
    <t>Problem 02-32</t>
  </si>
  <si>
    <t>Given Data P02-27:</t>
  </si>
  <si>
    <t>Problem 02-27</t>
  </si>
  <si>
    <t>Given Data P02-26:</t>
  </si>
  <si>
    <t>Problem 02-26</t>
  </si>
  <si>
    <t>Retained earnings, 1/1/15</t>
  </si>
  <si>
    <t>Gain on bargain purchase (excess net asset fair value over</t>
  </si>
  <si>
    <t xml:space="preserve">      consideration transferred)</t>
  </si>
  <si>
    <t>Add the two book values less acquisition and stock issue costs.</t>
  </si>
  <si>
    <t xml:space="preserve">  -to In-process research and development</t>
  </si>
  <si>
    <t>R&amp;D assets</t>
  </si>
  <si>
    <t>Probability that Seguros will meet goals</t>
  </si>
  <si>
    <t>Retained earnings, 1/1/14</t>
  </si>
  <si>
    <t xml:space="preserve">   Retained earnings, 12/31/14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</si>
</sst>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_);_(&quot;$&quot;* \(#,##0\);_(&quot;$&quot;* &quot;-&quot;??_);_(@_)"/>
    <numFmt numFmtId="168" formatCode="_(* #,##0_);_(* \(#,##0\);_(* &quot;-&quot;??_);_(@_)"/>
    <numFmt numFmtId="169" formatCode="mmmm\ d\,\ yyyy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u/>
      <sz val="8"/>
      <color indexed="81"/>
      <name val="Tahoma"/>
      <family val="2"/>
    </font>
    <font>
      <i/>
      <sz val="8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8"/>
      <color indexed="10"/>
      <name val="Arial"/>
      <family val="2"/>
    </font>
    <font>
      <sz val="8"/>
      <color indexed="81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44"/>
      </top>
      <bottom style="hair">
        <color indexed="4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/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hair">
        <color indexed="44"/>
      </left>
      <right style="hair">
        <color indexed="44"/>
      </right>
      <top style="thin">
        <color indexed="64"/>
      </top>
      <bottom/>
      <diagonal/>
    </border>
    <border>
      <left/>
      <right/>
      <top style="hair">
        <color indexed="44"/>
      </top>
      <bottom/>
      <diagonal/>
    </border>
    <border>
      <left style="hair">
        <color indexed="44"/>
      </left>
      <right style="hair">
        <color indexed="44"/>
      </right>
      <top/>
      <bottom/>
      <diagonal/>
    </border>
    <border>
      <left style="hair">
        <color indexed="44"/>
      </left>
      <right style="hair">
        <color indexed="44"/>
      </right>
      <top/>
      <bottom style="hair">
        <color indexed="44"/>
      </bottom>
      <diagonal/>
    </border>
    <border>
      <left/>
      <right/>
      <top/>
      <bottom style="hair">
        <color indexed="44"/>
      </bottom>
      <diagonal/>
    </border>
    <border>
      <left/>
      <right/>
      <top style="hair">
        <color indexed="44"/>
      </top>
      <bottom style="thin">
        <color indexed="64"/>
      </bottom>
      <diagonal/>
    </border>
    <border>
      <left/>
      <right style="hair">
        <color indexed="4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44"/>
      </left>
      <right/>
      <top style="hair">
        <color indexed="44"/>
      </top>
      <bottom style="hair">
        <color indexed="44"/>
      </bottom>
      <diagonal/>
    </border>
    <border>
      <left/>
      <right style="hair">
        <color indexed="44"/>
      </right>
      <top style="hair">
        <color indexed="44"/>
      </top>
      <bottom style="thin">
        <color indexed="64"/>
      </bottom>
      <diagonal/>
    </border>
    <border>
      <left style="hair">
        <color indexed="44"/>
      </left>
      <right style="hair">
        <color indexed="44"/>
      </right>
      <top style="hair">
        <color indexed="4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44"/>
      </right>
      <top/>
      <bottom style="hair">
        <color indexed="44"/>
      </bottom>
      <diagonal/>
    </border>
    <border>
      <left/>
      <right style="hair">
        <color indexed="44"/>
      </right>
      <top style="hair">
        <color indexed="44"/>
      </top>
      <bottom style="hair">
        <color indexed="44"/>
      </bottom>
      <diagonal/>
    </border>
    <border>
      <left/>
      <right style="hair">
        <color indexed="44"/>
      </right>
      <top style="hair">
        <color indexed="4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44"/>
      </bottom>
      <diagonal/>
    </border>
    <border>
      <left/>
      <right style="hair">
        <color indexed="44"/>
      </right>
      <top style="thin">
        <color indexed="64"/>
      </top>
      <bottom style="hair">
        <color indexed="44"/>
      </bottom>
      <diagonal/>
    </border>
    <border>
      <left/>
      <right/>
      <top/>
      <bottom style="hair">
        <color rgb="FF99CCFF"/>
      </bottom>
      <diagonal/>
    </border>
    <border>
      <left/>
      <right/>
      <top style="hair">
        <color rgb="FF99CCFF"/>
      </top>
      <bottom style="hair">
        <color rgb="FF99CCFF"/>
      </bottom>
      <diagonal/>
    </border>
    <border>
      <left/>
      <right/>
      <top style="hair">
        <color rgb="FF99CCFF"/>
      </top>
      <bottom/>
      <diagonal/>
    </border>
    <border>
      <left/>
      <right/>
      <top style="hair">
        <color rgb="FF99CCFF"/>
      </top>
      <bottom style="thin">
        <color indexed="64"/>
      </bottom>
      <diagonal/>
    </border>
    <border>
      <left/>
      <right style="hair">
        <color rgb="FF66CCFF"/>
      </right>
      <top style="thin">
        <color indexed="64"/>
      </top>
      <bottom style="double">
        <color indexed="64"/>
      </bottom>
      <diagonal/>
    </border>
    <border>
      <left/>
      <right style="hair">
        <color rgb="FF99CCFF"/>
      </right>
      <top/>
      <bottom style="hair">
        <color rgb="FF99CCFF"/>
      </bottom>
      <diagonal/>
    </border>
    <border>
      <left/>
      <right style="hair">
        <color rgb="FF99CCFF"/>
      </right>
      <top style="hair">
        <color rgb="FF99CCFF"/>
      </top>
      <bottom style="hair">
        <color rgb="FF99CCFF"/>
      </bottom>
      <diagonal/>
    </border>
    <border>
      <left/>
      <right style="hair">
        <color rgb="FF99CCFF"/>
      </right>
      <top style="hair">
        <color rgb="FF99CCFF"/>
      </top>
      <bottom/>
      <diagonal/>
    </border>
    <border>
      <left style="hair">
        <color rgb="FF99CCFF"/>
      </left>
      <right style="hair">
        <color rgb="FF99CCFF"/>
      </right>
      <top/>
      <bottom style="hair">
        <color rgb="FF99CCFF"/>
      </bottom>
      <diagonal/>
    </border>
    <border>
      <left style="hair">
        <color rgb="FF99CCFF"/>
      </left>
      <right style="hair">
        <color rgb="FF99CCFF"/>
      </right>
      <top style="hair">
        <color rgb="FF99CCFF"/>
      </top>
      <bottom style="hair">
        <color rgb="FF99CCFF"/>
      </bottom>
      <diagonal/>
    </border>
    <border>
      <left style="hair">
        <color rgb="FF99CCFF"/>
      </left>
      <right style="hair">
        <color rgb="FF99CCFF"/>
      </right>
      <top style="hair">
        <color rgb="FF99CCFF"/>
      </top>
      <bottom/>
      <diagonal/>
    </border>
    <border>
      <left style="hair">
        <color rgb="FF99CCFF"/>
      </left>
      <right style="hair">
        <color rgb="FF99CCFF"/>
      </right>
      <top style="hair">
        <color rgb="FF99CCFF"/>
      </top>
      <bottom style="thin">
        <color indexed="64"/>
      </bottom>
      <diagonal/>
    </border>
    <border>
      <left style="hair">
        <color indexed="44"/>
      </left>
      <right style="hair">
        <color rgb="FF99CCFF"/>
      </right>
      <top/>
      <bottom/>
      <diagonal/>
    </border>
    <border>
      <left style="hair">
        <color indexed="44"/>
      </left>
      <right style="hair">
        <color rgb="FF99CCFF"/>
      </right>
      <top style="hair">
        <color indexed="44"/>
      </top>
      <bottom style="hair">
        <color indexed="44"/>
      </bottom>
      <diagonal/>
    </border>
    <border>
      <left/>
      <right/>
      <top style="thin">
        <color indexed="64"/>
      </top>
      <bottom style="hair">
        <color rgb="FF99CCFF"/>
      </bottom>
      <diagonal/>
    </border>
    <border>
      <left/>
      <right style="hair">
        <color rgb="FF99CCFF"/>
      </right>
      <top style="thin">
        <color indexed="64"/>
      </top>
      <bottom style="double">
        <color indexed="64"/>
      </bottom>
      <diagonal/>
    </border>
    <border>
      <left style="hair">
        <color rgb="FF99CCFF"/>
      </left>
      <right/>
      <top style="thin">
        <color indexed="64"/>
      </top>
      <bottom style="double">
        <color indexed="64"/>
      </bottom>
      <diagonal/>
    </border>
    <border>
      <left/>
      <right style="hair">
        <color rgb="FF99CCFF"/>
      </right>
      <top/>
      <bottom/>
      <diagonal/>
    </border>
    <border>
      <left style="hair">
        <color indexed="44"/>
      </left>
      <right style="hair">
        <color rgb="FF99CCFF"/>
      </right>
      <top style="hair">
        <color indexed="4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2" fillId="5" borderId="0">
      <alignment horizontal="left"/>
    </xf>
    <xf numFmtId="41" fontId="12" fillId="6" borderId="0">
      <protection locked="0"/>
    </xf>
  </cellStyleXfs>
  <cellXfs count="214">
    <xf numFmtId="0" fontId="0" fillId="0" borderId="0" xfId="0"/>
    <xf numFmtId="0" fontId="2" fillId="0" borderId="0" xfId="0" applyFont="1" applyBorder="1" applyAlignment="1" applyProtection="1">
      <alignment horizontal="right"/>
    </xf>
    <xf numFmtId="0" fontId="2" fillId="0" borderId="0" xfId="0" applyFont="1" applyProtection="1"/>
    <xf numFmtId="0" fontId="3" fillId="0" borderId="0" xfId="0" applyFont="1" applyBorder="1" applyAlignment="1" applyProtection="1">
      <alignment horizontal="left"/>
    </xf>
    <xf numFmtId="0" fontId="0" fillId="2" borderId="0" xfId="0" applyFill="1"/>
    <xf numFmtId="168" fontId="0" fillId="2" borderId="0" xfId="1" applyNumberFormat="1" applyFont="1" applyFill="1"/>
    <xf numFmtId="0" fontId="2" fillId="0" borderId="0" xfId="0" applyFont="1"/>
    <xf numFmtId="0" fontId="2" fillId="2" borderId="0" xfId="0" applyFont="1" applyFill="1"/>
    <xf numFmtId="9" fontId="2" fillId="2" borderId="0" xfId="0" applyNumberFormat="1" applyFont="1" applyFill="1"/>
    <xf numFmtId="166" fontId="2" fillId="2" borderId="0" xfId="2" applyNumberFormat="1" applyFont="1" applyFill="1"/>
    <xf numFmtId="168" fontId="2" fillId="2" borderId="0" xfId="1" applyNumberFormat="1" applyFont="1" applyFill="1"/>
    <xf numFmtId="0" fontId="2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3" fillId="2" borderId="0" xfId="0" applyFont="1" applyFill="1" applyBorder="1" applyAlignment="1">
      <alignment horizontal="center"/>
    </xf>
    <xf numFmtId="0" fontId="2" fillId="4" borderId="0" xfId="0" applyFont="1" applyFill="1"/>
    <xf numFmtId="0" fontId="3" fillId="2" borderId="0" xfId="0" applyFont="1" applyFill="1" applyAlignment="1">
      <alignment horizontal="center"/>
    </xf>
    <xf numFmtId="0" fontId="7" fillId="2" borderId="1" xfId="0" applyFont="1" applyFill="1" applyBorder="1"/>
    <xf numFmtId="168" fontId="0" fillId="2" borderId="0" xfId="1" applyNumberFormat="1" applyFont="1" applyFill="1" applyBorder="1"/>
    <xf numFmtId="0" fontId="3" fillId="2" borderId="1" xfId="0" applyFont="1" applyFill="1" applyBorder="1" applyAlignment="1" applyProtection="1">
      <alignment horizontal="center"/>
    </xf>
    <xf numFmtId="0" fontId="3" fillId="2" borderId="1" xfId="0" applyFont="1" applyFill="1" applyBorder="1"/>
    <xf numFmtId="0" fontId="3" fillId="2" borderId="0" xfId="0" applyFont="1" applyFill="1"/>
    <xf numFmtId="0" fontId="2" fillId="2" borderId="0" xfId="0" applyFont="1" applyFill="1" applyProtection="1"/>
    <xf numFmtId="0" fontId="2" fillId="2" borderId="1" xfId="0" applyFont="1" applyFill="1" applyBorder="1" applyProtection="1"/>
    <xf numFmtId="168" fontId="0" fillId="2" borderId="1" xfId="1" applyNumberFormat="1" applyFont="1" applyFill="1" applyBorder="1"/>
    <xf numFmtId="0" fontId="3" fillId="2" borderId="0" xfId="0" applyFont="1" applyFill="1" applyBorder="1" applyAlignment="1" applyProtection="1">
      <alignment horizontal="left"/>
    </xf>
    <xf numFmtId="169" fontId="2" fillId="2" borderId="0" xfId="0" applyNumberFormat="1" applyFont="1" applyFill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0" fillId="0" borderId="0" xfId="0" applyBorder="1"/>
    <xf numFmtId="0" fontId="9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168" fontId="1" fillId="2" borderId="0" xfId="1" applyNumberFormat="1" applyFill="1"/>
    <xf numFmtId="0" fontId="2" fillId="2" borderId="0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168" fontId="2" fillId="2" borderId="0" xfId="1" applyNumberFormat="1" applyFont="1" applyFill="1" applyAlignment="1">
      <alignment horizontal="center"/>
    </xf>
    <xf numFmtId="0" fontId="9" fillId="2" borderId="0" xfId="0" applyFont="1" applyFill="1" applyBorder="1" applyAlignment="1"/>
    <xf numFmtId="168" fontId="0" fillId="2" borderId="0" xfId="0" applyNumberFormat="1" applyFill="1"/>
    <xf numFmtId="168" fontId="2" fillId="3" borderId="0" xfId="1" applyNumberFormat="1" applyFont="1" applyFill="1" applyProtection="1">
      <protection locked="0"/>
    </xf>
    <xf numFmtId="168" fontId="2" fillId="3" borderId="2" xfId="1" applyNumberFormat="1" applyFont="1" applyFill="1" applyBorder="1" applyProtection="1">
      <protection locked="0"/>
    </xf>
    <xf numFmtId="168" fontId="2" fillId="3" borderId="2" xfId="1" applyNumberFormat="1" applyFont="1" applyFill="1" applyBorder="1" applyAlignment="1" applyProtection="1">
      <alignment horizontal="center"/>
      <protection locked="0"/>
    </xf>
    <xf numFmtId="168" fontId="2" fillId="3" borderId="0" xfId="1" applyNumberFormat="1" applyFont="1" applyFill="1" applyAlignment="1" applyProtection="1">
      <alignment horizontal="center"/>
      <protection locked="0"/>
    </xf>
    <xf numFmtId="168" fontId="0" fillId="3" borderId="0" xfId="1" applyNumberFormat="1" applyFont="1" applyFill="1" applyProtection="1">
      <protection locked="0"/>
    </xf>
    <xf numFmtId="168" fontId="0" fillId="2" borderId="1" xfId="1" applyNumberFormat="1" applyFont="1" applyFill="1" applyBorder="1" applyProtection="1"/>
    <xf numFmtId="42" fontId="2" fillId="3" borderId="3" xfId="0" applyNumberFormat="1" applyFont="1" applyFill="1" applyBorder="1" applyProtection="1">
      <protection locked="0"/>
    </xf>
    <xf numFmtId="168" fontId="2" fillId="3" borderId="0" xfId="1" applyNumberFormat="1" applyFont="1" applyFill="1" applyBorder="1" applyAlignment="1" applyProtection="1">
      <alignment horizontal="center"/>
      <protection locked="0"/>
    </xf>
    <xf numFmtId="168" fontId="1" fillId="3" borderId="0" xfId="1" applyNumberFormat="1" applyFill="1" applyBorder="1" applyAlignment="1" applyProtection="1">
      <alignment horizontal="center"/>
      <protection locked="0"/>
    </xf>
    <xf numFmtId="168" fontId="1" fillId="3" borderId="4" xfId="1" applyNumberFormat="1" applyFill="1" applyBorder="1" applyAlignment="1" applyProtection="1">
      <alignment horizontal="center"/>
      <protection locked="0"/>
    </xf>
    <xf numFmtId="168" fontId="2" fillId="3" borderId="5" xfId="1" applyNumberFormat="1" applyFont="1" applyFill="1" applyBorder="1" applyAlignment="1" applyProtection="1">
      <alignment horizontal="center"/>
      <protection locked="0"/>
    </xf>
    <xf numFmtId="168" fontId="2" fillId="3" borderId="1" xfId="0" applyNumberFormat="1" applyFont="1" applyFill="1" applyBorder="1" applyProtection="1">
      <protection locked="0"/>
    </xf>
    <xf numFmtId="168" fontId="1" fillId="3" borderId="0" xfId="1" applyNumberFormat="1" applyFill="1" applyAlignment="1" applyProtection="1">
      <alignment horizontal="center"/>
      <protection locked="0"/>
    </xf>
    <xf numFmtId="42" fontId="2" fillId="2" borderId="0" xfId="2" applyNumberFormat="1" applyFont="1" applyFill="1"/>
    <xf numFmtId="42" fontId="2" fillId="2" borderId="0" xfId="1" applyNumberFormat="1" applyFont="1" applyFill="1"/>
    <xf numFmtId="42" fontId="0" fillId="2" borderId="0" xfId="0" applyNumberFormat="1" applyFill="1"/>
    <xf numFmtId="41" fontId="2" fillId="2" borderId="0" xfId="1" applyNumberFormat="1" applyFont="1" applyFill="1"/>
    <xf numFmtId="41" fontId="0" fillId="2" borderId="0" xfId="1" applyNumberFormat="1" applyFont="1" applyFill="1"/>
    <xf numFmtId="0" fontId="9" fillId="2" borderId="0" xfId="0" applyFont="1" applyFill="1" applyAlignment="1">
      <alignment horizontal="left"/>
    </xf>
    <xf numFmtId="41" fontId="0" fillId="3" borderId="6" xfId="1" applyNumberFormat="1" applyFont="1" applyFill="1" applyBorder="1" applyProtection="1">
      <protection locked="0"/>
    </xf>
    <xf numFmtId="41" fontId="0" fillId="3" borderId="0" xfId="1" applyNumberFormat="1" applyFont="1" applyFill="1" applyProtection="1">
      <protection locked="0"/>
    </xf>
    <xf numFmtId="41" fontId="0" fillId="3" borderId="5" xfId="1" applyNumberFormat="1" applyFont="1" applyFill="1" applyBorder="1" applyProtection="1">
      <protection locked="0"/>
    </xf>
    <xf numFmtId="41" fontId="0" fillId="3" borderId="2" xfId="1" applyNumberFormat="1" applyFont="1" applyFill="1" applyBorder="1" applyProtection="1">
      <protection locked="0"/>
    </xf>
    <xf numFmtId="41" fontId="0" fillId="3" borderId="4" xfId="1" applyNumberFormat="1" applyFont="1" applyFill="1" applyBorder="1" applyProtection="1">
      <protection locked="0"/>
    </xf>
    <xf numFmtId="41" fontId="0" fillId="3" borderId="7" xfId="1" applyNumberFormat="1" applyFont="1" applyFill="1" applyBorder="1" applyProtection="1">
      <protection locked="0"/>
    </xf>
    <xf numFmtId="41" fontId="0" fillId="3" borderId="8" xfId="1" applyNumberFormat="1" applyFont="1" applyFill="1" applyBorder="1" applyProtection="1">
      <protection locked="0"/>
    </xf>
    <xf numFmtId="41" fontId="0" fillId="3" borderId="9" xfId="1" applyNumberFormat="1" applyFont="1" applyFill="1" applyBorder="1" applyProtection="1">
      <protection locked="0"/>
    </xf>
    <xf numFmtId="41" fontId="0" fillId="3" borderId="10" xfId="1" applyNumberFormat="1" applyFont="1" applyFill="1" applyBorder="1" applyProtection="1">
      <protection locked="0"/>
    </xf>
    <xf numFmtId="42" fontId="2" fillId="3" borderId="10" xfId="2" applyNumberFormat="1" applyFont="1" applyFill="1" applyBorder="1" applyProtection="1">
      <protection locked="0"/>
    </xf>
    <xf numFmtId="42" fontId="2" fillId="3" borderId="3" xfId="2" applyNumberFormat="1" applyFont="1" applyFill="1" applyBorder="1" applyProtection="1">
      <protection locked="0"/>
    </xf>
    <xf numFmtId="41" fontId="2" fillId="3" borderId="11" xfId="1" applyNumberFormat="1" applyFont="1" applyFill="1" applyBorder="1" applyProtection="1">
      <protection locked="0"/>
    </xf>
    <xf numFmtId="41" fontId="2" fillId="3" borderId="0" xfId="0" applyNumberFormat="1" applyFont="1" applyFill="1" applyProtection="1">
      <protection locked="0"/>
    </xf>
    <xf numFmtId="41" fontId="2" fillId="3" borderId="10" xfId="0" applyNumberFormat="1" applyFont="1" applyFill="1" applyBorder="1" applyProtection="1">
      <protection locked="0"/>
    </xf>
    <xf numFmtId="41" fontId="2" fillId="3" borderId="0" xfId="0" applyNumberFormat="1" applyFont="1" applyFill="1" applyBorder="1" applyProtection="1">
      <protection locked="0"/>
    </xf>
    <xf numFmtId="42" fontId="2" fillId="3" borderId="12" xfId="1" applyNumberFormat="1" applyFont="1" applyFill="1" applyBorder="1" applyProtection="1">
      <protection locked="0"/>
    </xf>
    <xf numFmtId="0" fontId="3" fillId="2" borderId="13" xfId="0" applyFont="1" applyFill="1" applyBorder="1"/>
    <xf numFmtId="42" fontId="0" fillId="3" borderId="3" xfId="0" applyNumberFormat="1" applyFill="1" applyBorder="1" applyAlignment="1" applyProtection="1">
      <protection locked="0"/>
    </xf>
    <xf numFmtId="41" fontId="2" fillId="3" borderId="1" xfId="1" applyNumberFormat="1" applyFont="1" applyFill="1" applyBorder="1" applyProtection="1">
      <protection locked="0"/>
    </xf>
    <xf numFmtId="41" fontId="2" fillId="3" borderId="0" xfId="1" applyNumberFormat="1" applyFont="1" applyFill="1" applyProtection="1">
      <protection locked="0"/>
    </xf>
    <xf numFmtId="41" fontId="2" fillId="3" borderId="2" xfId="1" applyNumberFormat="1" applyFont="1" applyFill="1" applyBorder="1" applyProtection="1">
      <protection locked="0"/>
    </xf>
    <xf numFmtId="41" fontId="2" fillId="3" borderId="8" xfId="1" applyNumberFormat="1" applyFont="1" applyFill="1" applyBorder="1" applyProtection="1">
      <protection locked="0"/>
    </xf>
    <xf numFmtId="41" fontId="2" fillId="3" borderId="5" xfId="1" applyNumberFormat="1" applyFont="1" applyFill="1" applyBorder="1" applyProtection="1">
      <protection locked="0"/>
    </xf>
    <xf numFmtId="41" fontId="1" fillId="3" borderId="8" xfId="1" applyNumberFormat="1" applyFill="1" applyBorder="1" applyProtection="1">
      <protection locked="0"/>
    </xf>
    <xf numFmtId="41" fontId="2" fillId="3" borderId="4" xfId="1" applyNumberFormat="1" applyFont="1" applyFill="1" applyBorder="1" applyProtection="1">
      <protection locked="0"/>
    </xf>
    <xf numFmtId="41" fontId="1" fillId="3" borderId="4" xfId="1" applyNumberFormat="1" applyFill="1" applyBorder="1" applyProtection="1">
      <protection locked="0"/>
    </xf>
    <xf numFmtId="41" fontId="2" fillId="3" borderId="14" xfId="1" applyNumberFormat="1" applyFont="1" applyFill="1" applyBorder="1" applyProtection="1">
      <protection locked="0"/>
    </xf>
    <xf numFmtId="42" fontId="2" fillId="3" borderId="0" xfId="2" applyNumberFormat="1" applyFont="1" applyFill="1" applyProtection="1">
      <protection locked="0"/>
    </xf>
    <xf numFmtId="41" fontId="1" fillId="2" borderId="0" xfId="1" applyNumberFormat="1" applyFill="1"/>
    <xf numFmtId="0" fontId="3" fillId="0" borderId="0" xfId="0" applyFont="1" applyBorder="1" applyAlignment="1" applyProtection="1"/>
    <xf numFmtId="0" fontId="3" fillId="0" borderId="0" xfId="0" applyFont="1" applyAlignment="1" applyProtection="1">
      <protection locked="0"/>
    </xf>
    <xf numFmtId="41" fontId="2" fillId="5" borderId="0" xfId="3">
      <alignment horizontal="left"/>
    </xf>
    <xf numFmtId="41" fontId="2" fillId="2" borderId="0" xfId="1" applyNumberFormat="1" applyFont="1" applyFill="1" applyBorder="1"/>
    <xf numFmtId="41" fontId="2" fillId="2" borderId="0" xfId="0" applyNumberFormat="1" applyFont="1" applyFill="1"/>
    <xf numFmtId="41" fontId="2" fillId="2" borderId="1" xfId="1" applyNumberFormat="1" applyFont="1" applyFill="1" applyBorder="1"/>
    <xf numFmtId="42" fontId="2" fillId="2" borderId="3" xfId="0" applyNumberFormat="1" applyFont="1" applyFill="1" applyBorder="1"/>
    <xf numFmtId="42" fontId="2" fillId="2" borderId="3" xfId="1" applyNumberFormat="1" applyFont="1" applyFill="1" applyBorder="1"/>
    <xf numFmtId="41" fontId="0" fillId="2" borderId="0" xfId="0" applyNumberFormat="1" applyFill="1"/>
    <xf numFmtId="0" fontId="2" fillId="2" borderId="0" xfId="0" applyFont="1" applyFill="1" applyAlignment="1">
      <alignment horizontal="left"/>
    </xf>
    <xf numFmtId="169" fontId="3" fillId="2" borderId="0" xfId="0" applyNumberFormat="1" applyFont="1" applyFill="1" applyAlignment="1"/>
    <xf numFmtId="0" fontId="3" fillId="2" borderId="0" xfId="0" applyFont="1" applyFill="1" applyAlignment="1"/>
    <xf numFmtId="41" fontId="11" fillId="3" borderId="8" xfId="1" applyNumberFormat="1" applyFont="1" applyFill="1" applyBorder="1" applyProtection="1">
      <protection locked="0"/>
    </xf>
    <xf numFmtId="42" fontId="2" fillId="3" borderId="2" xfId="0" applyNumberFormat="1" applyFont="1" applyFill="1" applyBorder="1" applyProtection="1">
      <protection locked="0"/>
    </xf>
    <xf numFmtId="0" fontId="2" fillId="2" borderId="0" xfId="0" applyFont="1" applyFill="1" applyBorder="1" applyProtection="1"/>
    <xf numFmtId="41" fontId="2" fillId="6" borderId="0" xfId="4" applyFont="1">
      <protection locked="0"/>
    </xf>
    <xf numFmtId="41" fontId="2" fillId="3" borderId="15" xfId="1" applyNumberFormat="1" applyFont="1" applyFill="1" applyBorder="1" applyProtection="1">
      <protection locked="0"/>
    </xf>
    <xf numFmtId="41" fontId="2" fillId="6" borderId="3" xfId="4" applyFont="1" applyBorder="1">
      <protection locked="0"/>
    </xf>
    <xf numFmtId="41" fontId="1" fillId="3" borderId="16" xfId="1" applyNumberFormat="1" applyFill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41" fontId="2" fillId="2" borderId="0" xfId="0" applyNumberFormat="1" applyFont="1" applyFill="1" applyBorder="1" applyAlignment="1">
      <alignment horizontal="center"/>
    </xf>
    <xf numFmtId="42" fontId="2" fillId="2" borderId="0" xfId="0" applyNumberFormat="1" applyFont="1" applyFill="1" applyBorder="1" applyAlignment="1">
      <alignment horizontal="center"/>
    </xf>
    <xf numFmtId="41" fontId="2" fillId="2" borderId="1" xfId="0" applyNumberFormat="1" applyFont="1" applyFill="1" applyBorder="1" applyAlignment="1">
      <alignment horizontal="center"/>
    </xf>
    <xf numFmtId="42" fontId="2" fillId="2" borderId="3" xfId="0" applyNumberFormat="1" applyFont="1" applyFill="1" applyBorder="1" applyAlignment="1">
      <alignment horizontal="center"/>
    </xf>
    <xf numFmtId="42" fontId="1" fillId="2" borderId="3" xfId="1" applyNumberFormat="1" applyFill="1" applyBorder="1"/>
    <xf numFmtId="42" fontId="1" fillId="2" borderId="0" xfId="1" applyNumberFormat="1" applyFill="1"/>
    <xf numFmtId="9" fontId="2" fillId="2" borderId="0" xfId="2" applyNumberFormat="1" applyFont="1" applyFill="1"/>
    <xf numFmtId="0" fontId="8" fillId="2" borderId="0" xfId="0" applyFont="1" applyFill="1" applyBorder="1" applyAlignment="1">
      <alignment horizontal="left"/>
    </xf>
    <xf numFmtId="41" fontId="2" fillId="6" borderId="25" xfId="4" applyFont="1" applyBorder="1">
      <protection locked="0"/>
    </xf>
    <xf numFmtId="41" fontId="2" fillId="6" borderId="26" xfId="4" applyFont="1" applyBorder="1">
      <protection locked="0"/>
    </xf>
    <xf numFmtId="41" fontId="2" fillId="6" borderId="27" xfId="4" applyFont="1" applyBorder="1">
      <protection locked="0"/>
    </xf>
    <xf numFmtId="41" fontId="2" fillId="6" borderId="0" xfId="4" applyFont="1" applyBorder="1">
      <protection locked="0"/>
    </xf>
    <xf numFmtId="41" fontId="2" fillId="6" borderId="28" xfId="4" applyFont="1" applyBorder="1">
      <protection locked="0"/>
    </xf>
    <xf numFmtId="41" fontId="2" fillId="6" borderId="25" xfId="4" applyNumberFormat="1" applyFont="1" applyBorder="1">
      <protection locked="0"/>
    </xf>
    <xf numFmtId="41" fontId="2" fillId="6" borderId="28" xfId="4" applyNumberFormat="1" applyFont="1" applyBorder="1">
      <protection locked="0"/>
    </xf>
    <xf numFmtId="41" fontId="2" fillId="6" borderId="0" xfId="4" applyNumberFormat="1" applyFont="1" applyBorder="1">
      <protection locked="0"/>
    </xf>
    <xf numFmtId="41" fontId="2" fillId="6" borderId="26" xfId="4" applyNumberFormat="1" applyFont="1" applyBorder="1">
      <protection locked="0"/>
    </xf>
    <xf numFmtId="41" fontId="2" fillId="6" borderId="3" xfId="4" applyNumberFormat="1" applyFont="1" applyBorder="1">
      <protection locked="0"/>
    </xf>
    <xf numFmtId="41" fontId="2" fillId="3" borderId="29" xfId="2" applyNumberFormat="1" applyFont="1" applyFill="1" applyBorder="1" applyProtection="1">
      <protection locked="0"/>
    </xf>
    <xf numFmtId="41" fontId="2" fillId="3" borderId="3" xfId="2" applyNumberFormat="1" applyFont="1" applyFill="1" applyBorder="1" applyProtection="1">
      <protection locked="0"/>
    </xf>
    <xf numFmtId="41" fontId="2" fillId="3" borderId="17" xfId="2" applyNumberFormat="1" applyFont="1" applyFill="1" applyBorder="1" applyProtection="1">
      <protection locked="0"/>
    </xf>
    <xf numFmtId="41" fontId="1" fillId="3" borderId="10" xfId="2" applyNumberFormat="1" applyFill="1" applyBorder="1" applyProtection="1">
      <protection locked="0"/>
    </xf>
    <xf numFmtId="41" fontId="1" fillId="3" borderId="17" xfId="2" applyNumberFormat="1" applyFill="1" applyBorder="1" applyProtection="1">
      <protection locked="0"/>
    </xf>
    <xf numFmtId="41" fontId="2" fillId="3" borderId="30" xfId="2" applyNumberFormat="1" applyFont="1" applyFill="1" applyBorder="1" applyProtection="1">
      <protection locked="0"/>
    </xf>
    <xf numFmtId="41" fontId="2" fillId="6" borderId="31" xfId="4" applyFont="1" applyBorder="1">
      <protection locked="0"/>
    </xf>
    <xf numFmtId="41" fontId="2" fillId="6" borderId="30" xfId="4" applyFont="1" applyBorder="1">
      <protection locked="0"/>
    </xf>
    <xf numFmtId="41" fontId="2" fillId="6" borderId="32" xfId="4" applyFont="1" applyBorder="1">
      <protection locked="0"/>
    </xf>
    <xf numFmtId="41" fontId="2" fillId="3" borderId="31" xfId="1" applyNumberFormat="1" applyFont="1" applyFill="1" applyBorder="1" applyProtection="1">
      <protection locked="0"/>
    </xf>
    <xf numFmtId="41" fontId="2" fillId="6" borderId="33" xfId="4" applyFont="1" applyBorder="1">
      <protection locked="0"/>
    </xf>
    <xf numFmtId="41" fontId="2" fillId="6" borderId="34" xfId="4" applyFont="1" applyBorder="1">
      <protection locked="0"/>
    </xf>
    <xf numFmtId="41" fontId="2" fillId="6" borderId="35" xfId="4" applyFont="1" applyBorder="1">
      <protection locked="0"/>
    </xf>
    <xf numFmtId="41" fontId="2" fillId="6" borderId="36" xfId="4" applyFont="1" applyBorder="1">
      <protection locked="0"/>
    </xf>
    <xf numFmtId="41" fontId="2" fillId="6" borderId="18" xfId="4" applyFont="1" applyBorder="1">
      <protection locked="0"/>
    </xf>
    <xf numFmtId="41" fontId="2" fillId="6" borderId="9" xfId="4" applyFont="1" applyBorder="1">
      <protection locked="0"/>
    </xf>
    <xf numFmtId="41" fontId="2" fillId="6" borderId="19" xfId="4" applyFont="1" applyBorder="1">
      <protection locked="0"/>
    </xf>
    <xf numFmtId="41" fontId="2" fillId="6" borderId="5" xfId="4" applyFont="1" applyBorder="1">
      <protection locked="0"/>
    </xf>
    <xf numFmtId="41" fontId="2" fillId="6" borderId="20" xfId="4" applyFont="1" applyBorder="1">
      <protection locked="0"/>
    </xf>
    <xf numFmtId="41" fontId="2" fillId="6" borderId="4" xfId="4" applyFont="1" applyBorder="1">
      <protection locked="0"/>
    </xf>
    <xf numFmtId="168" fontId="2" fillId="3" borderId="35" xfId="1" applyNumberFormat="1" applyFont="1" applyFill="1" applyBorder="1" applyAlignment="1" applyProtection="1">
      <alignment horizontal="center"/>
      <protection locked="0"/>
    </xf>
    <xf numFmtId="41" fontId="2" fillId="3" borderId="35" xfId="1" applyNumberFormat="1" applyFont="1" applyFill="1" applyBorder="1" applyProtection="1">
      <protection locked="0"/>
    </xf>
    <xf numFmtId="41" fontId="2" fillId="2" borderId="21" xfId="1" applyNumberFormat="1" applyFont="1" applyFill="1" applyBorder="1"/>
    <xf numFmtId="41" fontId="2" fillId="6" borderId="9" xfId="4" applyFont="1" applyBorder="1" applyAlignment="1">
      <alignment horizontal="center"/>
      <protection locked="0"/>
    </xf>
    <xf numFmtId="41" fontId="2" fillId="6" borderId="5" xfId="4" applyFont="1" applyBorder="1" applyAlignment="1">
      <alignment horizontal="center"/>
      <protection locked="0"/>
    </xf>
    <xf numFmtId="41" fontId="2" fillId="6" borderId="4" xfId="4" applyFont="1" applyBorder="1" applyAlignment="1">
      <alignment horizontal="center"/>
      <protection locked="0"/>
    </xf>
    <xf numFmtId="41" fontId="2" fillId="6" borderId="33" xfId="4" applyFont="1" applyBorder="1" applyAlignment="1">
      <alignment horizontal="center"/>
      <protection locked="0"/>
    </xf>
    <xf numFmtId="42" fontId="2" fillId="6" borderId="3" xfId="4" applyNumberFormat="1" applyFont="1" applyBorder="1">
      <protection locked="0"/>
    </xf>
    <xf numFmtId="0" fontId="9" fillId="2" borderId="0" xfId="0" applyFont="1" applyFill="1" applyBorder="1" applyAlignment="1" applyProtection="1">
      <alignment horizontal="center"/>
    </xf>
    <xf numFmtId="41" fontId="1" fillId="3" borderId="11" xfId="2" applyNumberFormat="1" applyFill="1" applyBorder="1" applyProtection="1">
      <protection locked="0"/>
    </xf>
    <xf numFmtId="41" fontId="1" fillId="3" borderId="0" xfId="2" applyNumberFormat="1" applyFill="1" applyBorder="1" applyProtection="1">
      <protection locked="0"/>
    </xf>
    <xf numFmtId="41" fontId="11" fillId="3" borderId="37" xfId="1" applyNumberFormat="1" applyFont="1" applyFill="1" applyBorder="1" applyProtection="1">
      <protection locked="0"/>
    </xf>
    <xf numFmtId="41" fontId="2" fillId="3" borderId="38" xfId="1" applyNumberFormat="1" applyFont="1" applyFill="1" applyBorder="1" applyProtection="1">
      <protection locked="0"/>
    </xf>
    <xf numFmtId="41" fontId="2" fillId="3" borderId="37" xfId="1" applyNumberFormat="1" applyFont="1" applyFill="1" applyBorder="1" applyProtection="1">
      <protection locked="0"/>
    </xf>
    <xf numFmtId="41" fontId="1" fillId="3" borderId="37" xfId="1" applyNumberFormat="1" applyFill="1" applyBorder="1" applyProtection="1">
      <protection locked="0"/>
    </xf>
    <xf numFmtId="42" fontId="2" fillId="2" borderId="3" xfId="2" applyNumberFormat="1" applyFont="1" applyFill="1" applyBorder="1"/>
    <xf numFmtId="42" fontId="2" fillId="2" borderId="17" xfId="2" applyNumberFormat="1" applyFont="1" applyFill="1" applyBorder="1"/>
    <xf numFmtId="41" fontId="0" fillId="3" borderId="16" xfId="1" applyNumberFormat="1" applyFont="1" applyFill="1" applyBorder="1" applyProtection="1">
      <protection locked="0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9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0" fontId="0" fillId="2" borderId="22" xfId="0" quotePrefix="1" applyFill="1" applyBorder="1" applyAlignment="1">
      <alignment horizontal="left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1" xfId="0" applyFont="1" applyFill="1" applyBorder="1" applyAlignment="1">
      <alignment horizontal="left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19" xfId="0" applyFill="1" applyBorder="1" applyAlignment="1" applyProtection="1">
      <alignment horizontal="left"/>
      <protection locked="0"/>
    </xf>
    <xf numFmtId="169" fontId="3" fillId="2" borderId="0" xfId="0" applyNumberFormat="1" applyFont="1" applyFill="1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0" fillId="3" borderId="10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2" borderId="22" xfId="0" applyFont="1" applyFill="1" applyBorder="1" applyAlignment="1">
      <alignment horizontal="left"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3" fillId="2" borderId="13" xfId="0" quotePrefix="1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42" fontId="2" fillId="3" borderId="0" xfId="2" applyNumberFormat="1" applyFont="1" applyFill="1" applyBorder="1" applyProtection="1">
      <protection locked="0"/>
    </xf>
    <xf numFmtId="168" fontId="2" fillId="3" borderId="7" xfId="1" applyNumberFormat="1" applyFont="1" applyFill="1" applyBorder="1" applyAlignment="1" applyProtection="1">
      <alignment horizontal="center"/>
      <protection locked="0"/>
    </xf>
    <xf numFmtId="168" fontId="2" fillId="2" borderId="0" xfId="1" applyNumberFormat="1" applyFont="1" applyFill="1" applyBorder="1"/>
    <xf numFmtId="41" fontId="12" fillId="6" borderId="39" xfId="4" applyBorder="1">
      <protection locked="0"/>
    </xf>
    <xf numFmtId="41" fontId="12" fillId="6" borderId="26" xfId="4" applyBorder="1">
      <protection locked="0"/>
    </xf>
    <xf numFmtId="41" fontId="12" fillId="6" borderId="27" xfId="4" applyBorder="1">
      <protection locked="0"/>
    </xf>
    <xf numFmtId="41" fontId="11" fillId="3" borderId="6" xfId="1" applyNumberFormat="1" applyFont="1" applyFill="1" applyBorder="1" applyProtection="1">
      <protection locked="0"/>
    </xf>
    <xf numFmtId="41" fontId="12" fillId="6" borderId="3" xfId="4" applyBorder="1">
      <protection locked="0"/>
    </xf>
    <xf numFmtId="41" fontId="12" fillId="6" borderId="25" xfId="4" applyBorder="1">
      <protection locked="0"/>
    </xf>
    <xf numFmtId="41" fontId="0" fillId="3" borderId="37" xfId="1" applyNumberFormat="1" applyFont="1" applyFill="1" applyBorder="1" applyProtection="1">
      <protection locked="0"/>
    </xf>
    <xf numFmtId="41" fontId="2" fillId="6" borderId="40" xfId="4" applyNumberFormat="1" applyFont="1" applyBorder="1">
      <protection locked="0"/>
    </xf>
    <xf numFmtId="41" fontId="12" fillId="6" borderId="41" xfId="4" applyBorder="1">
      <protection locked="0"/>
    </xf>
    <xf numFmtId="41" fontId="1" fillId="3" borderId="42" xfId="1" applyNumberFormat="1" applyFill="1" applyBorder="1" applyProtection="1">
      <protection locked="0"/>
    </xf>
    <xf numFmtId="41" fontId="1" fillId="3" borderId="43" xfId="1" applyNumberFormat="1" applyFill="1" applyBorder="1" applyProtection="1">
      <protection locked="0"/>
    </xf>
    <xf numFmtId="41" fontId="2" fillId="6" borderId="42" xfId="4" applyFont="1" applyBorder="1">
      <protection locked="0"/>
    </xf>
  </cellXfs>
  <cellStyles count="5">
    <cellStyle name="Comma" xfId="1" builtinId="3"/>
    <cellStyle name="Currency" xfId="2" builtinId="4"/>
    <cellStyle name="MH Blue w/#" xfId="3"/>
    <cellStyle name="MH Yellow w/#" xfId="4"/>
    <cellStyle name="Normal" xfId="0" builtinId="0"/>
  </cellStyles>
  <dxfs count="0"/>
  <tableStyles count="0" defaultTableStyle="TableStyleMedium9" defaultPivotStyle="PivotStyleLight16"/>
  <colors>
    <mruColors>
      <color rgb="FF99CC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N179"/>
  <sheetViews>
    <sheetView showGridLines="0" tabSelected="1" zoomScaleNormal="100" workbookViewId="0">
      <selection activeCell="C1" sqref="C1:D1"/>
    </sheetView>
  </sheetViews>
  <sheetFormatPr defaultRowHeight="12.75" x14ac:dyDescent="0.2"/>
  <cols>
    <col min="1" max="1" width="2.7109375" customWidth="1"/>
    <col min="2" max="30" width="12.7109375" customWidth="1"/>
  </cols>
  <sheetData>
    <row r="1" spans="1:10" x14ac:dyDescent="0.2">
      <c r="B1" s="1" t="s">
        <v>0</v>
      </c>
      <c r="C1" s="191" t="s">
        <v>1</v>
      </c>
      <c r="D1" s="191"/>
      <c r="H1" s="88"/>
      <c r="I1" s="88"/>
      <c r="J1" s="88"/>
    </row>
    <row r="2" spans="1:10" x14ac:dyDescent="0.2">
      <c r="B2" s="1" t="s">
        <v>2</v>
      </c>
      <c r="C2" s="191" t="s">
        <v>161</v>
      </c>
      <c r="D2" s="191"/>
      <c r="H2" s="88"/>
      <c r="I2" s="88"/>
      <c r="J2" s="88"/>
    </row>
    <row r="3" spans="1:10" x14ac:dyDescent="0.2">
      <c r="B3" s="2"/>
      <c r="C3" s="187" t="s">
        <v>167</v>
      </c>
      <c r="D3" s="187"/>
      <c r="H3" s="87"/>
      <c r="I3" s="87"/>
      <c r="J3" s="87"/>
    </row>
    <row r="4" spans="1:10" x14ac:dyDescent="0.2">
      <c r="F4" s="2"/>
      <c r="G4" s="3"/>
    </row>
    <row r="5" spans="1:10" x14ac:dyDescent="0.2">
      <c r="A5" s="89"/>
      <c r="B5" s="179" t="s">
        <v>89</v>
      </c>
      <c r="C5" s="179"/>
      <c r="D5" s="179"/>
      <c r="E5" s="179"/>
      <c r="F5" s="179"/>
      <c r="G5" s="179"/>
      <c r="H5" s="179"/>
      <c r="I5" s="89"/>
    </row>
    <row r="6" spans="1:10" x14ac:dyDescent="0.2">
      <c r="A6" s="89"/>
      <c r="B6" s="172"/>
      <c r="C6" s="172"/>
      <c r="D6" s="172"/>
      <c r="E6" s="172"/>
      <c r="F6" s="23"/>
      <c r="G6" s="26"/>
      <c r="H6" s="4"/>
      <c r="I6" s="89"/>
    </row>
    <row r="7" spans="1:10" x14ac:dyDescent="0.2">
      <c r="A7" s="89"/>
      <c r="B7" s="163" t="s">
        <v>91</v>
      </c>
      <c r="C7" s="163"/>
      <c r="D7" s="163"/>
      <c r="E7" s="163"/>
      <c r="F7" s="23"/>
      <c r="G7" s="26"/>
      <c r="H7" s="4"/>
      <c r="I7" s="89"/>
    </row>
    <row r="8" spans="1:10" x14ac:dyDescent="0.2">
      <c r="A8" s="89"/>
      <c r="B8" s="181"/>
      <c r="C8" s="181"/>
      <c r="D8" s="181"/>
      <c r="E8" s="181"/>
      <c r="F8" s="24"/>
      <c r="G8" s="26"/>
      <c r="H8" s="31"/>
      <c r="I8" s="89"/>
    </row>
    <row r="9" spans="1:10" x14ac:dyDescent="0.2">
      <c r="A9" s="89"/>
      <c r="B9" s="170" t="s">
        <v>158</v>
      </c>
      <c r="C9" s="170"/>
      <c r="D9" s="170"/>
      <c r="E9" s="170"/>
      <c r="F9" s="170"/>
      <c r="G9" s="26"/>
      <c r="H9" s="31"/>
      <c r="I9" s="89"/>
    </row>
    <row r="10" spans="1:10" x14ac:dyDescent="0.2">
      <c r="A10" s="89"/>
      <c r="B10" s="173"/>
      <c r="C10" s="173"/>
      <c r="D10" s="173"/>
      <c r="E10" s="173"/>
      <c r="F10" s="173"/>
      <c r="G10" s="26"/>
      <c r="H10" s="31"/>
      <c r="I10" s="89"/>
    </row>
    <row r="11" spans="1:10" x14ac:dyDescent="0.2">
      <c r="A11" s="89"/>
      <c r="B11" s="171"/>
      <c r="C11" s="171"/>
      <c r="D11" s="171"/>
      <c r="E11" s="171"/>
      <c r="F11" s="171"/>
      <c r="G11" s="26"/>
      <c r="H11" s="31"/>
      <c r="I11" s="89"/>
    </row>
    <row r="12" spans="1:10" x14ac:dyDescent="0.2">
      <c r="A12" s="89"/>
      <c r="B12" s="192"/>
      <c r="C12" s="192"/>
      <c r="D12" s="192"/>
      <c r="E12" s="192"/>
      <c r="F12" s="23"/>
      <c r="G12" s="26"/>
      <c r="H12" s="4"/>
      <c r="I12" s="89"/>
    </row>
    <row r="13" spans="1:10" x14ac:dyDescent="0.2">
      <c r="A13" s="89"/>
      <c r="B13" s="164" t="s">
        <v>87</v>
      </c>
      <c r="C13" s="164"/>
      <c r="D13" s="164"/>
      <c r="E13" s="164"/>
      <c r="F13" s="100">
        <f>200000+20000+180000+115000</f>
        <v>515000</v>
      </c>
      <c r="G13" s="26"/>
      <c r="H13" s="4"/>
      <c r="I13" s="89"/>
    </row>
    <row r="14" spans="1:10" x14ac:dyDescent="0.2">
      <c r="A14" s="89"/>
      <c r="B14" s="164" t="s">
        <v>86</v>
      </c>
      <c r="C14" s="164"/>
      <c r="D14" s="164"/>
      <c r="E14" s="164"/>
      <c r="F14" s="71">
        <f>200000+20000+180000</f>
        <v>400000</v>
      </c>
      <c r="G14" s="26"/>
      <c r="H14" s="4"/>
      <c r="I14" s="89"/>
    </row>
    <row r="15" spans="1:10" ht="13.5" thickBot="1" x14ac:dyDescent="0.25">
      <c r="A15" s="89"/>
      <c r="B15" s="164" t="s">
        <v>88</v>
      </c>
      <c r="C15" s="164"/>
      <c r="D15" s="164"/>
      <c r="E15" s="164"/>
      <c r="F15" s="45">
        <f>F13-F14</f>
        <v>115000</v>
      </c>
      <c r="G15" s="26"/>
      <c r="H15" s="4"/>
      <c r="I15" s="89"/>
    </row>
    <row r="16" spans="1:10" ht="13.5" thickTop="1" x14ac:dyDescent="0.2">
      <c r="A16" s="89"/>
      <c r="B16" s="164"/>
      <c r="C16" s="164"/>
      <c r="D16" s="164"/>
      <c r="E16" s="164"/>
      <c r="F16" s="30" t="str">
        <f>IF(F15="","",IF(F15=115000,"Correct!","Try again!"))</f>
        <v>Correct!</v>
      </c>
      <c r="G16" s="26"/>
      <c r="H16" s="4"/>
      <c r="I16" s="89"/>
    </row>
    <row r="17" spans="1:9" x14ac:dyDescent="0.2">
      <c r="A17" s="89"/>
      <c r="B17" s="181"/>
      <c r="C17" s="181"/>
      <c r="D17" s="181"/>
      <c r="E17" s="181"/>
      <c r="F17" s="101"/>
      <c r="G17" s="26"/>
      <c r="H17" s="4"/>
      <c r="I17" s="89"/>
    </row>
    <row r="18" spans="1:9" x14ac:dyDescent="0.2">
      <c r="A18" s="89"/>
      <c r="B18" s="170" t="s">
        <v>159</v>
      </c>
      <c r="C18" s="170"/>
      <c r="D18" s="170"/>
      <c r="E18" s="170"/>
      <c r="F18" s="101"/>
      <c r="G18" s="26"/>
      <c r="H18" s="4"/>
      <c r="I18" s="89"/>
    </row>
    <row r="19" spans="1:9" x14ac:dyDescent="0.2">
      <c r="A19" s="89"/>
      <c r="B19" s="171"/>
      <c r="C19" s="171"/>
      <c r="D19" s="171"/>
      <c r="E19" s="171"/>
      <c r="F19" s="101"/>
      <c r="G19" s="26"/>
      <c r="H19" s="4"/>
      <c r="I19" s="89"/>
    </row>
    <row r="20" spans="1:9" x14ac:dyDescent="0.2">
      <c r="A20" s="89"/>
      <c r="B20" s="174"/>
      <c r="C20" s="174"/>
      <c r="D20" s="174"/>
      <c r="E20" s="174"/>
      <c r="F20" s="23"/>
      <c r="G20" s="26"/>
      <c r="H20" s="4"/>
      <c r="I20" s="89"/>
    </row>
    <row r="21" spans="1:9" x14ac:dyDescent="0.2">
      <c r="A21" s="89"/>
      <c r="B21" s="180" t="s">
        <v>89</v>
      </c>
      <c r="C21" s="180"/>
      <c r="D21" s="180"/>
      <c r="E21" s="180"/>
      <c r="F21" s="13"/>
      <c r="G21" s="26"/>
      <c r="H21" s="4"/>
      <c r="I21" s="89"/>
    </row>
    <row r="22" spans="1:9" x14ac:dyDescent="0.2">
      <c r="A22" s="89"/>
      <c r="B22" s="179" t="s">
        <v>13</v>
      </c>
      <c r="C22" s="179"/>
      <c r="D22" s="179"/>
      <c r="E22" s="179"/>
      <c r="F22" s="14"/>
      <c r="G22" s="26"/>
      <c r="H22" s="4"/>
      <c r="I22" s="89"/>
    </row>
    <row r="23" spans="1:9" x14ac:dyDescent="0.2">
      <c r="A23" s="89"/>
      <c r="B23" s="164"/>
      <c r="C23" s="164"/>
      <c r="D23" s="164"/>
      <c r="E23" s="164"/>
      <c r="F23" s="7"/>
      <c r="G23" s="26"/>
      <c r="H23" s="4"/>
      <c r="I23" s="89"/>
    </row>
    <row r="24" spans="1:9" x14ac:dyDescent="0.2">
      <c r="A24" s="89"/>
      <c r="B24" s="21" t="s">
        <v>14</v>
      </c>
      <c r="C24" s="21"/>
      <c r="D24" s="12" t="s">
        <v>15</v>
      </c>
      <c r="E24" s="12" t="s">
        <v>16</v>
      </c>
      <c r="F24" s="26"/>
      <c r="G24" s="26"/>
      <c r="H24" s="4"/>
      <c r="I24" s="89"/>
    </row>
    <row r="25" spans="1:9" x14ac:dyDescent="0.2">
      <c r="A25" s="89"/>
      <c r="B25" s="193" t="s">
        <v>82</v>
      </c>
      <c r="C25" s="194"/>
      <c r="D25" s="58">
        <f>SUM(E26:E29)</f>
        <v>515000</v>
      </c>
      <c r="E25" s="59"/>
      <c r="F25" s="57" t="str">
        <f>IF(D25="","",IF(D25=515000,"«- Correct!","«- Try again!"))</f>
        <v>«- Correct!</v>
      </c>
      <c r="G25" s="57"/>
      <c r="H25" s="4"/>
      <c r="I25" s="89"/>
    </row>
    <row r="26" spans="1:9" x14ac:dyDescent="0.2">
      <c r="A26" s="89"/>
      <c r="B26" s="184" t="s">
        <v>55</v>
      </c>
      <c r="C26" s="185"/>
      <c r="D26" s="60"/>
      <c r="E26" s="61">
        <v>200000</v>
      </c>
      <c r="F26" s="26"/>
      <c r="G26" s="26"/>
      <c r="H26" s="38"/>
      <c r="I26" s="89"/>
    </row>
    <row r="27" spans="1:9" x14ac:dyDescent="0.2">
      <c r="A27" s="89"/>
      <c r="B27" s="184" t="s">
        <v>36</v>
      </c>
      <c r="C27" s="185"/>
      <c r="D27" s="60"/>
      <c r="E27" s="61">
        <f>20000*1</f>
        <v>20000</v>
      </c>
      <c r="F27" s="26"/>
      <c r="G27" s="26"/>
      <c r="H27" s="4"/>
      <c r="I27" s="89"/>
    </row>
    <row r="28" spans="1:9" x14ac:dyDescent="0.2">
      <c r="A28" s="89"/>
      <c r="B28" s="184" t="s">
        <v>18</v>
      </c>
      <c r="C28" s="185"/>
      <c r="D28" s="62"/>
      <c r="E28" s="63">
        <f>20000*(10-1)</f>
        <v>180000</v>
      </c>
      <c r="F28" s="26"/>
      <c r="G28" s="26"/>
      <c r="H28" s="4"/>
      <c r="I28" s="89"/>
    </row>
    <row r="29" spans="1:9" x14ac:dyDescent="0.2">
      <c r="A29" s="89"/>
      <c r="B29" s="182" t="s">
        <v>83</v>
      </c>
      <c r="C29" s="183"/>
      <c r="D29" s="62"/>
      <c r="E29" s="63">
        <v>115000</v>
      </c>
      <c r="F29" s="26"/>
      <c r="G29" s="26"/>
      <c r="H29" s="4"/>
      <c r="I29" s="89"/>
    </row>
    <row r="30" spans="1:9" x14ac:dyDescent="0.2">
      <c r="A30" s="89"/>
      <c r="B30" s="169" t="s">
        <v>112</v>
      </c>
      <c r="C30" s="169"/>
      <c r="D30" s="169"/>
      <c r="E30" s="169"/>
      <c r="F30" s="26"/>
      <c r="G30" s="26"/>
      <c r="H30" s="4"/>
      <c r="I30" s="89"/>
    </row>
    <row r="31" spans="1:9" x14ac:dyDescent="0.2">
      <c r="A31" s="89"/>
      <c r="B31" s="169"/>
      <c r="C31" s="169"/>
      <c r="D31" s="169"/>
      <c r="E31" s="169"/>
      <c r="F31" s="26"/>
      <c r="G31" s="26"/>
      <c r="H31" s="4"/>
      <c r="I31" s="89"/>
    </row>
    <row r="32" spans="1:9" x14ac:dyDescent="0.2">
      <c r="A32" s="89"/>
      <c r="B32" s="190" t="s">
        <v>113</v>
      </c>
      <c r="C32" s="189"/>
      <c r="D32" s="64">
        <f>E33</f>
        <v>30000</v>
      </c>
      <c r="E32" s="59"/>
      <c r="F32" s="57" t="str">
        <f>IF(D32="","",IF(D32=30000,"«- Correct!","«- Try again!"))</f>
        <v>«- Correct!</v>
      </c>
      <c r="G32" s="57"/>
      <c r="H32" s="4"/>
      <c r="I32" s="89"/>
    </row>
    <row r="33" spans="1:9" x14ac:dyDescent="0.2">
      <c r="A33" s="89"/>
      <c r="B33" s="182" t="s">
        <v>17</v>
      </c>
      <c r="C33" s="183"/>
      <c r="D33" s="62"/>
      <c r="E33" s="63">
        <v>30000</v>
      </c>
      <c r="F33" s="26"/>
      <c r="G33" s="26"/>
      <c r="H33" s="4"/>
      <c r="I33" s="89"/>
    </row>
    <row r="34" spans="1:9" x14ac:dyDescent="0.2">
      <c r="A34" s="89"/>
      <c r="B34" s="169" t="s">
        <v>114</v>
      </c>
      <c r="C34" s="169"/>
      <c r="D34" s="169"/>
      <c r="E34" s="169"/>
      <c r="F34" s="26"/>
      <c r="G34" s="26"/>
      <c r="H34" s="4"/>
      <c r="I34" s="89"/>
    </row>
    <row r="35" spans="1:9" x14ac:dyDescent="0.2">
      <c r="A35" s="89"/>
      <c r="B35" s="169"/>
      <c r="C35" s="169"/>
      <c r="D35" s="169"/>
      <c r="E35" s="169"/>
      <c r="F35" s="26"/>
      <c r="G35" s="26"/>
      <c r="H35" s="4"/>
      <c r="I35" s="89"/>
    </row>
    <row r="36" spans="1:9" x14ac:dyDescent="0.2">
      <c r="A36" s="89"/>
      <c r="B36" s="188" t="s">
        <v>19</v>
      </c>
      <c r="C36" s="189"/>
      <c r="D36" s="65">
        <f>E37</f>
        <v>12000</v>
      </c>
      <c r="E36" s="66"/>
      <c r="F36" s="57" t="str">
        <f>IF(D36="","",IF(D36=12000,"«- Correct!","«- Try again!"))</f>
        <v>«- Correct!</v>
      </c>
      <c r="G36" s="57"/>
      <c r="H36" s="4"/>
      <c r="I36" s="89"/>
    </row>
    <row r="37" spans="1:9" x14ac:dyDescent="0.2">
      <c r="A37" s="89"/>
      <c r="B37" s="182" t="s">
        <v>17</v>
      </c>
      <c r="C37" s="183"/>
      <c r="D37" s="62"/>
      <c r="E37" s="63">
        <v>12000</v>
      </c>
      <c r="F37" s="26"/>
      <c r="G37" s="26"/>
      <c r="H37" s="4"/>
      <c r="I37" s="89"/>
    </row>
    <row r="38" spans="1:9" x14ac:dyDescent="0.2">
      <c r="A38" s="89"/>
      <c r="B38" s="169" t="s">
        <v>74</v>
      </c>
      <c r="C38" s="169"/>
      <c r="D38" s="169"/>
      <c r="E38" s="169"/>
      <c r="F38" s="19"/>
      <c r="G38" s="26"/>
      <c r="H38" s="4"/>
      <c r="I38" s="89"/>
    </row>
    <row r="39" spans="1:9" x14ac:dyDescent="0.2">
      <c r="A39" s="89"/>
      <c r="B39" s="166"/>
      <c r="C39" s="166"/>
      <c r="D39" s="166"/>
      <c r="E39" s="166"/>
      <c r="F39" s="11"/>
      <c r="G39" s="26"/>
      <c r="H39" s="4"/>
      <c r="I39" s="89"/>
    </row>
    <row r="40" spans="1:9" x14ac:dyDescent="0.2">
      <c r="A40" s="89"/>
      <c r="B40" s="170" t="s">
        <v>160</v>
      </c>
      <c r="C40" s="170"/>
      <c r="D40" s="170"/>
      <c r="E40" s="170"/>
      <c r="F40" s="170"/>
      <c r="G40" s="26"/>
      <c r="H40" s="4"/>
      <c r="I40" s="89"/>
    </row>
    <row r="41" spans="1:9" x14ac:dyDescent="0.2">
      <c r="A41" s="89"/>
      <c r="B41" s="171"/>
      <c r="C41" s="171"/>
      <c r="D41" s="171"/>
      <c r="E41" s="171"/>
      <c r="F41" s="171"/>
      <c r="G41" s="26"/>
      <c r="H41" s="4"/>
      <c r="I41" s="89"/>
    </row>
    <row r="42" spans="1:9" x14ac:dyDescent="0.2">
      <c r="A42" s="89"/>
      <c r="B42" s="168"/>
      <c r="C42" s="168"/>
      <c r="D42" s="168"/>
      <c r="E42" s="168"/>
      <c r="F42" s="168"/>
      <c r="G42" s="26"/>
      <c r="H42" s="4"/>
      <c r="I42" s="89"/>
    </row>
    <row r="43" spans="1:9" x14ac:dyDescent="0.2">
      <c r="A43" s="89"/>
      <c r="B43" s="164" t="s">
        <v>84</v>
      </c>
      <c r="C43" s="164"/>
      <c r="D43" s="164"/>
      <c r="E43" s="164"/>
      <c r="F43" s="164"/>
      <c r="G43" s="199">
        <f>E26+E27+E28</f>
        <v>400000</v>
      </c>
      <c r="H43" s="4"/>
      <c r="I43" s="89"/>
    </row>
    <row r="44" spans="1:9" x14ac:dyDescent="0.2">
      <c r="A44" s="89"/>
      <c r="B44" s="164" t="s">
        <v>37</v>
      </c>
      <c r="C44" s="164"/>
      <c r="D44" s="164"/>
      <c r="E44" s="164"/>
      <c r="F44" s="164"/>
      <c r="G44" s="31"/>
      <c r="H44" s="4"/>
      <c r="I44" s="89"/>
    </row>
    <row r="45" spans="1:9" x14ac:dyDescent="0.2">
      <c r="A45" s="89"/>
      <c r="B45" s="164" t="s">
        <v>115</v>
      </c>
      <c r="C45" s="164"/>
      <c r="D45" s="164"/>
      <c r="E45" s="164"/>
      <c r="F45" s="164"/>
      <c r="G45" s="76">
        <f>20000+90000+140000+180000+220000+50000-40000-200000</f>
        <v>460000</v>
      </c>
      <c r="H45" s="4"/>
      <c r="I45" s="89"/>
    </row>
    <row r="46" spans="1:9" x14ac:dyDescent="0.2">
      <c r="A46" s="89"/>
      <c r="B46" s="164" t="s">
        <v>116</v>
      </c>
      <c r="C46" s="164"/>
      <c r="D46" s="164"/>
      <c r="E46" s="164"/>
      <c r="F46" s="164"/>
      <c r="G46" s="70">
        <f>G43-G45</f>
        <v>-60000</v>
      </c>
      <c r="H46" s="4"/>
      <c r="I46" s="89"/>
    </row>
    <row r="47" spans="1:9" x14ac:dyDescent="0.2">
      <c r="A47" s="89"/>
      <c r="B47" s="164"/>
      <c r="C47" s="164"/>
      <c r="D47" s="164"/>
      <c r="E47" s="164"/>
      <c r="F47" s="164"/>
      <c r="G47" s="26"/>
      <c r="H47" s="4"/>
      <c r="I47" s="89"/>
    </row>
    <row r="48" spans="1:9" x14ac:dyDescent="0.2">
      <c r="A48" s="89"/>
      <c r="B48" s="164" t="s">
        <v>38</v>
      </c>
      <c r="C48" s="164"/>
      <c r="D48" s="164"/>
      <c r="E48" s="164"/>
      <c r="F48" s="164"/>
      <c r="G48" s="26"/>
      <c r="H48" s="4"/>
      <c r="I48" s="89"/>
    </row>
    <row r="49" spans="1:14" x14ac:dyDescent="0.2">
      <c r="A49" s="89"/>
      <c r="B49" s="164" t="s">
        <v>85</v>
      </c>
      <c r="C49" s="164"/>
      <c r="D49" s="164"/>
      <c r="E49" s="164"/>
      <c r="F49" s="164"/>
      <c r="G49" s="26"/>
      <c r="H49" s="4"/>
      <c r="I49" s="89"/>
    </row>
    <row r="50" spans="1:14" x14ac:dyDescent="0.2">
      <c r="A50" s="89"/>
      <c r="B50" s="164" t="s">
        <v>39</v>
      </c>
      <c r="C50" s="164"/>
      <c r="D50" s="164"/>
      <c r="E50" s="164"/>
      <c r="F50" s="71">
        <v>5000</v>
      </c>
      <c r="G50" s="26"/>
      <c r="H50" s="4"/>
      <c r="I50" s="89"/>
    </row>
    <row r="51" spans="1:14" x14ac:dyDescent="0.2">
      <c r="A51" s="89"/>
      <c r="B51" s="164" t="s">
        <v>40</v>
      </c>
      <c r="C51" s="164"/>
      <c r="D51" s="164"/>
      <c r="E51" s="164"/>
      <c r="F51" s="72">
        <v>20000</v>
      </c>
      <c r="G51" s="26"/>
      <c r="H51" s="4"/>
      <c r="I51" s="89"/>
    </row>
    <row r="52" spans="1:14" x14ac:dyDescent="0.2">
      <c r="A52" s="89"/>
      <c r="B52" s="164" t="s">
        <v>41</v>
      </c>
      <c r="C52" s="164"/>
      <c r="D52" s="164"/>
      <c r="E52" s="164"/>
      <c r="F52" s="103">
        <v>30000</v>
      </c>
      <c r="G52" s="102">
        <f>SUM(F50:F52)</f>
        <v>55000</v>
      </c>
      <c r="H52" s="4"/>
      <c r="I52" s="89"/>
    </row>
    <row r="53" spans="1:14" ht="12.75" customHeight="1" x14ac:dyDescent="0.2">
      <c r="A53" s="89"/>
      <c r="B53" s="164" t="s">
        <v>169</v>
      </c>
      <c r="C53" s="164"/>
      <c r="D53" s="164"/>
      <c r="E53" s="164"/>
      <c r="F53" s="164"/>
      <c r="G53" s="7"/>
      <c r="H53" s="7"/>
      <c r="I53" s="89"/>
    </row>
    <row r="54" spans="1:14" ht="13.5" thickBot="1" x14ac:dyDescent="0.25">
      <c r="A54" s="89"/>
      <c r="B54" s="164" t="s">
        <v>170</v>
      </c>
      <c r="C54" s="164"/>
      <c r="D54" s="164"/>
      <c r="E54" s="164"/>
      <c r="F54" s="164"/>
      <c r="G54" s="68">
        <f>G46-G52</f>
        <v>-115000</v>
      </c>
      <c r="H54" s="7"/>
      <c r="I54" s="89"/>
    </row>
    <row r="55" spans="1:14" ht="13.5" thickTop="1" x14ac:dyDescent="0.2">
      <c r="A55" s="89"/>
      <c r="B55" s="164"/>
      <c r="C55" s="164"/>
      <c r="D55" s="164"/>
      <c r="E55" s="164"/>
      <c r="F55" s="164"/>
      <c r="G55" s="30" t="str">
        <f>IF(G54="","",IF(G54=-115000,"Correct!","Try again!"))</f>
        <v>Correct!</v>
      </c>
      <c r="H55" s="7"/>
      <c r="I55" s="89"/>
    </row>
    <row r="56" spans="1:14" x14ac:dyDescent="0.2">
      <c r="A56" s="89"/>
      <c r="B56" s="164"/>
      <c r="C56" s="164"/>
      <c r="D56" s="164"/>
      <c r="E56" s="164"/>
      <c r="F56" s="164"/>
      <c r="G56" s="7"/>
      <c r="H56" s="7"/>
      <c r="I56" s="89"/>
    </row>
    <row r="57" spans="1:14" x14ac:dyDescent="0.2">
      <c r="A57" s="89"/>
      <c r="B57" s="178" t="s">
        <v>28</v>
      </c>
      <c r="C57" s="178"/>
      <c r="D57" s="20" t="s">
        <v>30</v>
      </c>
      <c r="E57" s="21" t="s">
        <v>29</v>
      </c>
      <c r="F57" s="21"/>
      <c r="G57" s="18"/>
      <c r="H57" s="18"/>
      <c r="I57" s="7"/>
      <c r="L57" s="6"/>
      <c r="M57" s="6"/>
      <c r="N57" s="6"/>
    </row>
    <row r="58" spans="1:14" x14ac:dyDescent="0.2">
      <c r="A58" s="89"/>
      <c r="B58" s="168" t="s">
        <v>4</v>
      </c>
      <c r="C58" s="168"/>
      <c r="D58" s="73">
        <f>60000+20000-30000-12000</f>
        <v>38000</v>
      </c>
      <c r="E58" s="175" t="s">
        <v>171</v>
      </c>
      <c r="F58" s="175"/>
      <c r="G58" s="175"/>
      <c r="H58" s="175"/>
      <c r="I58" s="7"/>
      <c r="L58" s="6"/>
      <c r="M58" s="6"/>
      <c r="N58" s="6"/>
    </row>
    <row r="59" spans="1:14" x14ac:dyDescent="0.2">
      <c r="A59" s="89"/>
      <c r="B59" s="164"/>
      <c r="C59" s="164"/>
      <c r="D59" s="30" t="str">
        <f>IF(D58="","",IF(D58=38000,"Correct!","Try again!"))</f>
        <v>Correct!</v>
      </c>
      <c r="E59" s="176"/>
      <c r="F59" s="176"/>
      <c r="G59" s="176"/>
      <c r="H59" s="176"/>
      <c r="I59" s="7"/>
      <c r="L59" s="6"/>
      <c r="M59" s="6"/>
      <c r="N59" s="6"/>
    </row>
    <row r="60" spans="1:14" x14ac:dyDescent="0.2">
      <c r="A60" s="89"/>
      <c r="B60" s="166"/>
      <c r="C60" s="166"/>
      <c r="D60" s="25"/>
      <c r="E60" s="177"/>
      <c r="F60" s="177"/>
      <c r="G60" s="177"/>
      <c r="H60" s="177"/>
      <c r="I60" s="7"/>
      <c r="L60" s="6"/>
      <c r="M60" s="6"/>
      <c r="N60" s="6"/>
    </row>
    <row r="61" spans="1:14" x14ac:dyDescent="0.2">
      <c r="A61" s="89"/>
      <c r="B61" s="168" t="s">
        <v>5</v>
      </c>
      <c r="C61" s="168"/>
      <c r="D61" s="73">
        <f>270000+90000</f>
        <v>360000</v>
      </c>
      <c r="E61" s="175" t="s">
        <v>31</v>
      </c>
      <c r="F61" s="175"/>
      <c r="G61" s="175"/>
      <c r="H61" s="175"/>
      <c r="I61" s="7"/>
      <c r="L61" s="6"/>
      <c r="M61" s="6"/>
      <c r="N61" s="6"/>
    </row>
    <row r="62" spans="1:14" x14ac:dyDescent="0.2">
      <c r="A62" s="89"/>
      <c r="B62" s="164"/>
      <c r="C62" s="164"/>
      <c r="D62" s="30" t="str">
        <f>IF(D61="","",IF(D61=360000,"Correct!","Try again!"))</f>
        <v>Correct!</v>
      </c>
      <c r="E62" s="176"/>
      <c r="F62" s="176"/>
      <c r="G62" s="176"/>
      <c r="H62" s="176"/>
      <c r="I62" s="7"/>
      <c r="L62" s="6"/>
      <c r="M62" s="6"/>
      <c r="N62" s="6"/>
    </row>
    <row r="63" spans="1:14" x14ac:dyDescent="0.2">
      <c r="A63" s="89"/>
      <c r="B63" s="166"/>
      <c r="C63" s="166"/>
      <c r="D63" s="4"/>
      <c r="E63" s="177"/>
      <c r="F63" s="177"/>
      <c r="G63" s="177"/>
      <c r="H63" s="177"/>
      <c r="I63" s="7"/>
      <c r="L63" s="6"/>
      <c r="M63" s="6"/>
      <c r="N63" s="6"/>
    </row>
    <row r="64" spans="1:14" x14ac:dyDescent="0.2">
      <c r="A64" s="89"/>
      <c r="B64" s="164" t="s">
        <v>6</v>
      </c>
      <c r="C64" s="164"/>
      <c r="D64" s="73">
        <f>360000+140000+5000</f>
        <v>505000</v>
      </c>
      <c r="E64" s="175" t="s">
        <v>92</v>
      </c>
      <c r="F64" s="175"/>
      <c r="G64" s="175"/>
      <c r="H64" s="175"/>
      <c r="I64" s="7"/>
      <c r="L64" s="6"/>
      <c r="M64" s="6"/>
      <c r="N64" s="6"/>
    </row>
    <row r="65" spans="1:14" x14ac:dyDescent="0.2">
      <c r="A65" s="89"/>
      <c r="B65" s="164"/>
      <c r="C65" s="164"/>
      <c r="D65" s="30" t="str">
        <f>IF(D64="","",IF(D64=505000,"Correct!","Try again!"))</f>
        <v>Correct!</v>
      </c>
      <c r="E65" s="176"/>
      <c r="F65" s="176"/>
      <c r="G65" s="176"/>
      <c r="H65" s="176"/>
      <c r="I65" s="7"/>
      <c r="L65" s="6"/>
      <c r="M65" s="6"/>
      <c r="N65" s="6"/>
    </row>
    <row r="66" spans="1:14" x14ac:dyDescent="0.2">
      <c r="A66" s="89"/>
      <c r="B66" s="166"/>
      <c r="C66" s="166"/>
      <c r="D66" s="25"/>
      <c r="E66" s="177"/>
      <c r="F66" s="177"/>
      <c r="G66" s="177"/>
      <c r="H66" s="177"/>
      <c r="I66" s="7"/>
      <c r="L66" s="6"/>
      <c r="M66" s="6"/>
      <c r="N66" s="6"/>
    </row>
    <row r="67" spans="1:14" x14ac:dyDescent="0.2">
      <c r="A67" s="89"/>
      <c r="B67" s="168" t="s">
        <v>7</v>
      </c>
      <c r="C67" s="168"/>
      <c r="D67" s="73">
        <f>200000+180000+20000</f>
        <v>400000</v>
      </c>
      <c r="E67" s="175" t="s">
        <v>92</v>
      </c>
      <c r="F67" s="175"/>
      <c r="G67" s="175"/>
      <c r="H67" s="175"/>
      <c r="I67" s="7"/>
      <c r="L67" s="6"/>
      <c r="M67" s="6"/>
      <c r="N67" s="6"/>
    </row>
    <row r="68" spans="1:14" x14ac:dyDescent="0.2">
      <c r="A68" s="89"/>
      <c r="B68" s="164"/>
      <c r="C68" s="164"/>
      <c r="D68" s="30" t="str">
        <f>IF(D67="","",IF(D67=400000,"Correct!","Try again!"))</f>
        <v>Correct!</v>
      </c>
      <c r="E68" s="176"/>
      <c r="F68" s="176"/>
      <c r="G68" s="176"/>
      <c r="H68" s="176"/>
      <c r="I68" s="7"/>
      <c r="L68" s="6"/>
      <c r="M68" s="6"/>
      <c r="N68" s="6"/>
    </row>
    <row r="69" spans="1:14" x14ac:dyDescent="0.2">
      <c r="A69" s="89"/>
      <c r="B69" s="166"/>
      <c r="C69" s="166"/>
      <c r="D69" s="25"/>
      <c r="E69" s="177"/>
      <c r="F69" s="177"/>
      <c r="G69" s="177"/>
      <c r="H69" s="177"/>
      <c r="I69" s="7"/>
      <c r="L69" s="6"/>
      <c r="M69" s="6"/>
      <c r="N69" s="6"/>
    </row>
    <row r="70" spans="1:14" x14ac:dyDescent="0.2">
      <c r="A70" s="89"/>
      <c r="B70" s="168" t="s">
        <v>20</v>
      </c>
      <c r="C70" s="168"/>
      <c r="D70" s="73">
        <f>420000+220000+30000</f>
        <v>670000</v>
      </c>
      <c r="E70" s="175" t="s">
        <v>92</v>
      </c>
      <c r="F70" s="175"/>
      <c r="G70" s="175"/>
      <c r="H70" s="175"/>
      <c r="I70" s="7"/>
      <c r="L70" s="6"/>
      <c r="M70" s="6"/>
      <c r="N70" s="6"/>
    </row>
    <row r="71" spans="1:14" x14ac:dyDescent="0.2">
      <c r="A71" s="89"/>
      <c r="B71" s="164"/>
      <c r="C71" s="164"/>
      <c r="D71" s="30" t="str">
        <f>IF(D70="","",IF(D70=670000,"Correct!","Try again!"))</f>
        <v>Correct!</v>
      </c>
      <c r="E71" s="176"/>
      <c r="F71" s="176"/>
      <c r="G71" s="176"/>
      <c r="H71" s="176"/>
      <c r="I71" s="7"/>
      <c r="L71" s="6"/>
      <c r="M71" s="6"/>
      <c r="N71" s="6"/>
    </row>
    <row r="72" spans="1:14" x14ac:dyDescent="0.2">
      <c r="A72" s="89"/>
      <c r="B72" s="166"/>
      <c r="C72" s="166"/>
      <c r="D72" s="25"/>
      <c r="E72" s="177"/>
      <c r="F72" s="177"/>
      <c r="G72" s="177"/>
      <c r="H72" s="177"/>
      <c r="I72" s="7"/>
      <c r="L72" s="6"/>
      <c r="M72" s="6"/>
      <c r="N72" s="6"/>
    </row>
    <row r="73" spans="1:14" x14ac:dyDescent="0.2">
      <c r="A73" s="89"/>
      <c r="B73" s="168" t="s">
        <v>21</v>
      </c>
      <c r="C73" s="168"/>
      <c r="D73" s="73">
        <f>160000+50000</f>
        <v>210000</v>
      </c>
      <c r="E73" s="175" t="s">
        <v>81</v>
      </c>
      <c r="F73" s="175"/>
      <c r="G73" s="175"/>
      <c r="H73" s="175"/>
      <c r="I73" s="7"/>
      <c r="L73" s="6"/>
      <c r="M73" s="6"/>
      <c r="N73" s="6"/>
    </row>
    <row r="74" spans="1:14" x14ac:dyDescent="0.2">
      <c r="A74" s="89"/>
      <c r="B74" s="164"/>
      <c r="C74" s="164"/>
      <c r="D74" s="30" t="str">
        <f>IF(D73="","",IF(D73=210000,"Correct!","Try again!"))</f>
        <v>Correct!</v>
      </c>
      <c r="E74" s="176"/>
      <c r="F74" s="176"/>
      <c r="G74" s="176"/>
      <c r="H74" s="176"/>
      <c r="I74" s="7"/>
      <c r="L74" s="6"/>
      <c r="M74" s="6"/>
      <c r="N74" s="6"/>
    </row>
    <row r="75" spans="1:14" x14ac:dyDescent="0.2">
      <c r="A75" s="89"/>
      <c r="B75" s="166"/>
      <c r="C75" s="166"/>
      <c r="D75" s="44"/>
      <c r="E75" s="177"/>
      <c r="F75" s="177"/>
      <c r="G75" s="177"/>
      <c r="H75" s="177"/>
      <c r="I75" s="7"/>
      <c r="L75" s="6"/>
      <c r="M75" s="6"/>
      <c r="N75" s="6"/>
    </row>
    <row r="76" spans="1:14" x14ac:dyDescent="0.2">
      <c r="A76" s="89"/>
      <c r="B76" s="168" t="s">
        <v>43</v>
      </c>
      <c r="C76" s="168"/>
      <c r="D76" s="73">
        <f>SUM(D58:D75)</f>
        <v>2183000</v>
      </c>
      <c r="E76" s="175" t="s">
        <v>75</v>
      </c>
      <c r="F76" s="175"/>
      <c r="G76" s="175"/>
      <c r="H76" s="175"/>
      <c r="I76" s="7"/>
      <c r="L76" s="6"/>
      <c r="M76" s="6"/>
      <c r="N76" s="6"/>
    </row>
    <row r="77" spans="1:14" x14ac:dyDescent="0.2">
      <c r="A77" s="89"/>
      <c r="B77" s="164"/>
      <c r="C77" s="164"/>
      <c r="D77" s="30" t="str">
        <f>IF(D76="","",IF(D76=2183000,"Correct!","Try again!"))</f>
        <v>Correct!</v>
      </c>
      <c r="E77" s="176"/>
      <c r="F77" s="176"/>
      <c r="G77" s="176"/>
      <c r="H77" s="176"/>
      <c r="I77" s="7"/>
      <c r="L77" s="6"/>
      <c r="M77" s="6"/>
      <c r="N77" s="6"/>
    </row>
    <row r="78" spans="1:14" x14ac:dyDescent="0.2">
      <c r="A78" s="89"/>
      <c r="B78" s="166"/>
      <c r="C78" s="166"/>
      <c r="D78" s="44"/>
      <c r="E78" s="177"/>
      <c r="F78" s="177"/>
      <c r="G78" s="177"/>
      <c r="H78" s="177"/>
      <c r="I78" s="7"/>
      <c r="L78" s="6"/>
      <c r="M78" s="6"/>
      <c r="N78" s="6"/>
    </row>
    <row r="79" spans="1:14" x14ac:dyDescent="0.2">
      <c r="A79" s="89"/>
      <c r="B79" s="168" t="s">
        <v>32</v>
      </c>
      <c r="C79" s="168"/>
      <c r="D79" s="73">
        <v>190000</v>
      </c>
      <c r="E79" s="175" t="s">
        <v>31</v>
      </c>
      <c r="F79" s="175"/>
      <c r="G79" s="175"/>
      <c r="H79" s="175"/>
      <c r="I79" s="7"/>
      <c r="L79" s="6"/>
      <c r="M79" s="6"/>
      <c r="N79" s="6"/>
    </row>
    <row r="80" spans="1:14" x14ac:dyDescent="0.2">
      <c r="A80" s="89"/>
      <c r="B80" s="167"/>
      <c r="C80" s="167"/>
      <c r="D80" s="30" t="str">
        <f>IF(D79="","",IF(D79=190000,"Correct!","Try again!"))</f>
        <v>Correct!</v>
      </c>
      <c r="E80" s="176"/>
      <c r="F80" s="176"/>
      <c r="G80" s="176"/>
      <c r="H80" s="176"/>
      <c r="I80" s="7"/>
      <c r="L80" s="6"/>
      <c r="M80" s="6"/>
      <c r="N80" s="6"/>
    </row>
    <row r="81" spans="1:14" x14ac:dyDescent="0.2">
      <c r="A81" s="89"/>
      <c r="B81" s="166"/>
      <c r="C81" s="166"/>
      <c r="D81" s="44"/>
      <c r="E81" s="177"/>
      <c r="F81" s="177"/>
      <c r="G81" s="177"/>
      <c r="H81" s="177"/>
      <c r="I81" s="7"/>
      <c r="L81" s="6"/>
      <c r="M81" s="6"/>
      <c r="N81" s="6"/>
    </row>
    <row r="82" spans="1:14" x14ac:dyDescent="0.2">
      <c r="A82" s="89"/>
      <c r="B82" s="168" t="s">
        <v>33</v>
      </c>
      <c r="C82" s="168"/>
      <c r="D82" s="73">
        <v>830000</v>
      </c>
      <c r="E82" s="175" t="s">
        <v>123</v>
      </c>
      <c r="F82" s="175"/>
      <c r="G82" s="175"/>
      <c r="H82" s="175"/>
      <c r="I82" s="7"/>
      <c r="L82" s="6"/>
      <c r="M82" s="6"/>
      <c r="N82" s="6"/>
    </row>
    <row r="83" spans="1:14" x14ac:dyDescent="0.2">
      <c r="A83" s="89"/>
      <c r="B83" s="164"/>
      <c r="C83" s="164"/>
      <c r="D83" s="30" t="str">
        <f>IF(D82="","",IF(D82=830000,"Correct!","Try again!"))</f>
        <v>Correct!</v>
      </c>
      <c r="E83" s="176"/>
      <c r="F83" s="176"/>
      <c r="G83" s="176"/>
      <c r="H83" s="176"/>
      <c r="I83" s="7"/>
      <c r="L83" s="6"/>
      <c r="M83" s="6"/>
      <c r="N83" s="6"/>
    </row>
    <row r="84" spans="1:14" x14ac:dyDescent="0.2">
      <c r="A84" s="89"/>
      <c r="B84" s="166"/>
      <c r="C84" s="166"/>
      <c r="D84" s="25"/>
      <c r="E84" s="177"/>
      <c r="F84" s="177"/>
      <c r="G84" s="177"/>
      <c r="H84" s="177"/>
      <c r="I84" s="7"/>
      <c r="L84" s="6"/>
      <c r="M84" s="6"/>
      <c r="N84" s="6"/>
    </row>
    <row r="85" spans="1:14" x14ac:dyDescent="0.2">
      <c r="A85" s="89"/>
      <c r="B85" s="168" t="s">
        <v>34</v>
      </c>
      <c r="C85" s="168"/>
      <c r="D85" s="73">
        <v>130000</v>
      </c>
      <c r="E85" s="175" t="s">
        <v>117</v>
      </c>
      <c r="F85" s="175"/>
      <c r="G85" s="175"/>
      <c r="H85" s="175"/>
      <c r="I85" s="7"/>
      <c r="L85" s="6"/>
      <c r="M85" s="6"/>
      <c r="N85" s="6"/>
    </row>
    <row r="86" spans="1:14" x14ac:dyDescent="0.2">
      <c r="A86" s="89"/>
      <c r="B86" s="164"/>
      <c r="C86" s="164"/>
      <c r="D86" s="30" t="str">
        <f>IF(D85="","",IF(D85=130000,"Correct!","Try again!"))</f>
        <v>Correct!</v>
      </c>
      <c r="E86" s="176"/>
      <c r="F86" s="176"/>
      <c r="G86" s="176"/>
      <c r="H86" s="176"/>
      <c r="I86" s="7"/>
      <c r="L86" s="6"/>
      <c r="M86" s="6"/>
      <c r="N86" s="6"/>
    </row>
    <row r="87" spans="1:14" x14ac:dyDescent="0.2">
      <c r="A87" s="89"/>
      <c r="B87" s="166"/>
      <c r="C87" s="166"/>
      <c r="D87" s="25"/>
      <c r="E87" s="177"/>
      <c r="F87" s="177"/>
      <c r="G87" s="177"/>
      <c r="H87" s="177"/>
      <c r="I87" s="7"/>
      <c r="L87" s="6"/>
      <c r="M87" s="6"/>
      <c r="N87" s="6"/>
    </row>
    <row r="88" spans="1:14" x14ac:dyDescent="0.2">
      <c r="A88" s="89"/>
      <c r="B88" s="168" t="s">
        <v>19</v>
      </c>
      <c r="C88" s="168"/>
      <c r="D88" s="73">
        <v>528000</v>
      </c>
      <c r="E88" s="175" t="s">
        <v>118</v>
      </c>
      <c r="F88" s="175"/>
      <c r="G88" s="175"/>
      <c r="H88" s="175"/>
      <c r="I88" s="7"/>
      <c r="L88" s="6"/>
      <c r="M88" s="6"/>
      <c r="N88" s="6"/>
    </row>
    <row r="89" spans="1:14" x14ac:dyDescent="0.2">
      <c r="A89" s="89"/>
      <c r="B89" s="164"/>
      <c r="C89" s="164"/>
      <c r="D89" s="30" t="str">
        <f>IF(D88="","",IF(D88=528000,"Correct!","Try again!"))</f>
        <v>Correct!</v>
      </c>
      <c r="E89" s="176"/>
      <c r="F89" s="176"/>
      <c r="G89" s="176"/>
      <c r="H89" s="176"/>
      <c r="I89" s="7"/>
      <c r="L89" s="6"/>
      <c r="M89" s="6"/>
      <c r="N89" s="6"/>
    </row>
    <row r="90" spans="1:14" x14ac:dyDescent="0.2">
      <c r="A90" s="89"/>
      <c r="B90" s="166"/>
      <c r="C90" s="166"/>
      <c r="D90" s="25"/>
      <c r="E90" s="177"/>
      <c r="F90" s="177"/>
      <c r="G90" s="177"/>
      <c r="H90" s="177"/>
      <c r="I90" s="7"/>
      <c r="L90" s="6"/>
      <c r="M90" s="6"/>
      <c r="N90" s="6"/>
    </row>
    <row r="91" spans="1:14" x14ac:dyDescent="0.2">
      <c r="A91" s="89"/>
      <c r="B91" s="168" t="s">
        <v>35</v>
      </c>
      <c r="C91" s="168"/>
      <c r="D91" s="73">
        <f>420000-30000+115000</f>
        <v>505000</v>
      </c>
      <c r="E91" s="175" t="s">
        <v>119</v>
      </c>
      <c r="F91" s="175"/>
      <c r="G91" s="175"/>
      <c r="H91" s="175"/>
      <c r="I91" s="7"/>
      <c r="L91" s="6"/>
      <c r="M91" s="6"/>
      <c r="N91" s="6"/>
    </row>
    <row r="92" spans="1:14" x14ac:dyDescent="0.2">
      <c r="A92" s="89"/>
      <c r="B92" s="164"/>
      <c r="C92" s="164"/>
      <c r="D92" s="30" t="str">
        <f>IF(D91="","",IF(D91=505000,"Correct!","Try again!"))</f>
        <v>Correct!</v>
      </c>
      <c r="E92" s="176"/>
      <c r="F92" s="176"/>
      <c r="G92" s="176"/>
      <c r="H92" s="176"/>
      <c r="I92" s="7"/>
      <c r="L92" s="6"/>
      <c r="M92" s="6"/>
      <c r="N92" s="6"/>
    </row>
    <row r="93" spans="1:14" x14ac:dyDescent="0.2">
      <c r="A93" s="89"/>
      <c r="B93" s="166"/>
      <c r="C93" s="166"/>
      <c r="D93" s="25"/>
      <c r="E93" s="177"/>
      <c r="F93" s="177"/>
      <c r="G93" s="177"/>
      <c r="H93" s="177"/>
      <c r="I93" s="7"/>
      <c r="L93" s="6"/>
      <c r="M93" s="6"/>
      <c r="N93" s="6"/>
    </row>
    <row r="94" spans="1:14" x14ac:dyDescent="0.2">
      <c r="A94" s="89"/>
      <c r="B94" s="168" t="s">
        <v>42</v>
      </c>
      <c r="C94" s="168"/>
      <c r="D94" s="73">
        <f>SUM(D79:D93)</f>
        <v>2183000</v>
      </c>
      <c r="E94" s="175" t="s">
        <v>76</v>
      </c>
      <c r="F94" s="175"/>
      <c r="G94" s="175"/>
      <c r="H94" s="175"/>
      <c r="I94" s="7"/>
      <c r="L94" s="6"/>
      <c r="M94" s="6"/>
      <c r="N94" s="6"/>
    </row>
    <row r="95" spans="1:14" x14ac:dyDescent="0.2">
      <c r="A95" s="89"/>
      <c r="B95" s="164"/>
      <c r="C95" s="164"/>
      <c r="D95" s="30" t="str">
        <f>IF(D94="","",IF(D94=2183000,"Correct!","Try again!"))</f>
        <v>Correct!</v>
      </c>
      <c r="E95" s="176"/>
      <c r="F95" s="176"/>
      <c r="G95" s="176"/>
      <c r="H95" s="176"/>
      <c r="I95" s="7"/>
      <c r="L95" s="6"/>
      <c r="M95" s="6"/>
      <c r="N95" s="6"/>
    </row>
    <row r="96" spans="1:14" x14ac:dyDescent="0.2">
      <c r="A96" s="89"/>
      <c r="B96" s="166"/>
      <c r="C96" s="166"/>
      <c r="D96" s="25"/>
      <c r="E96" s="177"/>
      <c r="F96" s="177"/>
      <c r="G96" s="177"/>
      <c r="H96" s="177"/>
      <c r="I96" s="7"/>
      <c r="L96" s="6"/>
      <c r="M96" s="6"/>
      <c r="N96" s="6"/>
    </row>
    <row r="97" spans="1:14" x14ac:dyDescent="0.2">
      <c r="A97" s="89"/>
      <c r="B97" s="7"/>
      <c r="C97" s="7"/>
      <c r="D97" s="7"/>
      <c r="E97" s="7"/>
      <c r="F97" s="7"/>
      <c r="G97" s="7"/>
      <c r="H97" s="7"/>
      <c r="I97" s="7"/>
      <c r="L97" s="6"/>
      <c r="M97" s="6"/>
      <c r="N97" s="6"/>
    </row>
    <row r="98" spans="1:14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2">
      <c r="A99" s="89"/>
      <c r="B99" s="163" t="s">
        <v>90</v>
      </c>
      <c r="C99" s="163"/>
      <c r="D99" s="163"/>
      <c r="E99" s="163"/>
      <c r="F99" s="7"/>
      <c r="G99" s="7"/>
      <c r="H99" s="7"/>
      <c r="I99" s="7"/>
      <c r="J99" s="7"/>
      <c r="K99" s="7"/>
      <c r="L99" s="6"/>
      <c r="M99" s="6"/>
      <c r="N99" s="6"/>
    </row>
    <row r="100" spans="1:14" x14ac:dyDescent="0.2">
      <c r="A100" s="89"/>
      <c r="B100" s="164"/>
      <c r="C100" s="164"/>
      <c r="D100" s="164"/>
      <c r="E100" s="164"/>
      <c r="F100" s="7"/>
      <c r="G100" s="7"/>
      <c r="H100" s="7"/>
      <c r="I100" s="7"/>
      <c r="J100" s="7"/>
      <c r="K100" s="7"/>
      <c r="L100" s="6"/>
      <c r="M100" s="6"/>
      <c r="N100" s="6"/>
    </row>
    <row r="101" spans="1:14" ht="15" customHeight="1" x14ac:dyDescent="0.2">
      <c r="A101" s="89"/>
      <c r="B101" s="179" t="s">
        <v>80</v>
      </c>
      <c r="C101" s="179"/>
      <c r="D101" s="179"/>
      <c r="E101" s="179"/>
      <c r="F101" s="179"/>
      <c r="G101" s="179"/>
      <c r="H101" s="179"/>
      <c r="I101" s="179"/>
      <c r="J101" s="179"/>
      <c r="K101" s="179"/>
      <c r="L101" s="6"/>
      <c r="M101" s="6"/>
      <c r="N101" s="6"/>
    </row>
    <row r="102" spans="1:14" x14ac:dyDescent="0.2">
      <c r="A102" s="89"/>
      <c r="B102" s="179" t="s">
        <v>45</v>
      </c>
      <c r="C102" s="179"/>
      <c r="D102" s="179"/>
      <c r="E102" s="179"/>
      <c r="F102" s="179"/>
      <c r="G102" s="179"/>
      <c r="H102" s="179"/>
      <c r="I102" s="179"/>
      <c r="J102" s="179"/>
      <c r="K102" s="179"/>
      <c r="L102" s="6"/>
      <c r="M102" s="6"/>
      <c r="N102" s="6"/>
    </row>
    <row r="103" spans="1:14" x14ac:dyDescent="0.2">
      <c r="A103" s="89"/>
      <c r="B103" s="186">
        <v>42005</v>
      </c>
      <c r="C103" s="186"/>
      <c r="D103" s="186"/>
      <c r="E103" s="186"/>
      <c r="F103" s="186"/>
      <c r="G103" s="186"/>
      <c r="H103" s="186"/>
      <c r="I103" s="186"/>
      <c r="J103" s="186"/>
      <c r="K103" s="186"/>
      <c r="L103" s="6"/>
      <c r="M103" s="6"/>
      <c r="N103" s="6"/>
    </row>
    <row r="104" spans="1:14" x14ac:dyDescent="0.2">
      <c r="A104" s="89"/>
      <c r="B104" s="165"/>
      <c r="C104" s="165"/>
      <c r="D104" s="14"/>
      <c r="E104" s="14"/>
      <c r="F104" s="14"/>
      <c r="G104" s="14"/>
      <c r="H104" s="14"/>
      <c r="I104" s="14"/>
      <c r="J104" s="7"/>
      <c r="K104" s="7"/>
      <c r="L104" s="6"/>
      <c r="M104" s="6"/>
      <c r="N104" s="6"/>
    </row>
    <row r="105" spans="1:14" x14ac:dyDescent="0.2">
      <c r="A105" s="89"/>
      <c r="B105" s="163"/>
      <c r="C105" s="163"/>
      <c r="D105" s="17" t="s">
        <v>78</v>
      </c>
      <c r="E105" s="17" t="s">
        <v>79</v>
      </c>
      <c r="F105" s="35" t="s">
        <v>46</v>
      </c>
      <c r="G105" s="35"/>
      <c r="H105" s="35"/>
      <c r="I105" s="35"/>
      <c r="J105" s="17" t="s">
        <v>47</v>
      </c>
      <c r="K105" s="7"/>
      <c r="L105" s="6"/>
      <c r="M105" s="6"/>
      <c r="N105" s="6"/>
    </row>
    <row r="106" spans="1:14" x14ac:dyDescent="0.2">
      <c r="A106" s="89"/>
      <c r="B106" s="12" t="s">
        <v>23</v>
      </c>
      <c r="C106" s="12"/>
      <c r="D106" s="12" t="s">
        <v>24</v>
      </c>
      <c r="E106" s="12" t="s">
        <v>24</v>
      </c>
      <c r="F106" s="74"/>
      <c r="G106" s="12" t="s">
        <v>15</v>
      </c>
      <c r="H106" s="21"/>
      <c r="I106" s="12" t="s">
        <v>16</v>
      </c>
      <c r="J106" s="12" t="s">
        <v>48</v>
      </c>
      <c r="K106" s="7"/>
      <c r="L106" s="6"/>
      <c r="M106" s="6"/>
      <c r="N106" s="6"/>
    </row>
    <row r="107" spans="1:14" x14ac:dyDescent="0.2">
      <c r="A107" s="89"/>
      <c r="B107" s="168" t="s">
        <v>4</v>
      </c>
      <c r="C107" s="168"/>
      <c r="D107" s="85">
        <f>60000-E33-E37</f>
        <v>18000</v>
      </c>
      <c r="E107" s="52">
        <v>20000</v>
      </c>
      <c r="F107" s="39"/>
      <c r="G107" s="99"/>
      <c r="H107" s="39"/>
      <c r="I107" s="205"/>
      <c r="J107" s="202">
        <f t="shared" ref="J107:J112" si="0">D107+E107+G107-I107</f>
        <v>38000</v>
      </c>
      <c r="K107" s="30" t="str">
        <f>IF(J107="","",IF(J107=38000,"Correct!","Try again!"))</f>
        <v>Correct!</v>
      </c>
      <c r="L107" s="6"/>
    </row>
    <row r="108" spans="1:14" x14ac:dyDescent="0.2">
      <c r="A108" s="89"/>
      <c r="B108" s="164" t="s">
        <v>5</v>
      </c>
      <c r="C108" s="164"/>
      <c r="D108" s="55">
        <v>270000</v>
      </c>
      <c r="E108" s="55">
        <v>90000</v>
      </c>
      <c r="F108" s="40"/>
      <c r="G108" s="80"/>
      <c r="H108" s="40"/>
      <c r="I108" s="80"/>
      <c r="J108" s="203">
        <f t="shared" si="0"/>
        <v>360000</v>
      </c>
      <c r="K108" s="30" t="str">
        <f>IF(J108="","",IF(J108=360000,"Correct!","Try again!"))</f>
        <v>Correct!</v>
      </c>
      <c r="L108" s="6"/>
    </row>
    <row r="109" spans="1:14" x14ac:dyDescent="0.2">
      <c r="A109" s="89"/>
      <c r="B109" s="164" t="s">
        <v>6</v>
      </c>
      <c r="C109" s="164"/>
      <c r="D109" s="55">
        <v>360000</v>
      </c>
      <c r="E109" s="55">
        <v>140000</v>
      </c>
      <c r="F109" s="41" t="s">
        <v>49</v>
      </c>
      <c r="G109" s="80">
        <v>5000</v>
      </c>
      <c r="H109" s="40"/>
      <c r="I109" s="80"/>
      <c r="J109" s="203">
        <f t="shared" si="0"/>
        <v>505000</v>
      </c>
      <c r="K109" s="30" t="str">
        <f>IF(J109="","",IF(J109=505000,"Correct!","Try again!"))</f>
        <v>Correct!</v>
      </c>
      <c r="L109" s="6"/>
    </row>
    <row r="110" spans="1:14" x14ac:dyDescent="0.2">
      <c r="A110" s="89"/>
      <c r="B110" s="164" t="s">
        <v>7</v>
      </c>
      <c r="C110" s="164"/>
      <c r="D110" s="55">
        <v>200000</v>
      </c>
      <c r="E110" s="55">
        <v>180000</v>
      </c>
      <c r="F110" s="41" t="s">
        <v>49</v>
      </c>
      <c r="G110" s="80">
        <v>20000</v>
      </c>
      <c r="H110" s="41"/>
      <c r="I110" s="80"/>
      <c r="J110" s="203">
        <f t="shared" si="0"/>
        <v>400000</v>
      </c>
      <c r="K110" s="30" t="str">
        <f>IF(J110="","",IF(J110=400000,"Correct!","Try again!"))</f>
        <v>Correct!</v>
      </c>
      <c r="L110" s="6"/>
    </row>
    <row r="111" spans="1:14" x14ac:dyDescent="0.2">
      <c r="A111" s="89"/>
      <c r="B111" s="164" t="s">
        <v>8</v>
      </c>
      <c r="C111" s="164"/>
      <c r="D111" s="55">
        <v>420000</v>
      </c>
      <c r="E111" s="55">
        <v>220000</v>
      </c>
      <c r="F111" s="41" t="s">
        <v>49</v>
      </c>
      <c r="G111" s="80">
        <v>30000</v>
      </c>
      <c r="H111" s="41"/>
      <c r="I111" s="80"/>
      <c r="J111" s="203">
        <f t="shared" si="0"/>
        <v>670000</v>
      </c>
      <c r="K111" s="30" t="str">
        <f>IF(J111="","",IF(J111=670000,"Correct!","Try again!"))</f>
        <v>Correct!</v>
      </c>
      <c r="L111" s="6"/>
    </row>
    <row r="112" spans="1:14" x14ac:dyDescent="0.2">
      <c r="A112" s="89"/>
      <c r="B112" s="164" t="s">
        <v>9</v>
      </c>
      <c r="C112" s="164"/>
      <c r="D112" s="55">
        <v>160000</v>
      </c>
      <c r="E112" s="55">
        <v>50000</v>
      </c>
      <c r="F112" s="40"/>
      <c r="G112" s="80"/>
      <c r="H112" s="41"/>
      <c r="I112" s="80"/>
      <c r="J112" s="203">
        <f t="shared" si="0"/>
        <v>210000</v>
      </c>
      <c r="K112" s="30" t="str">
        <f>IF(J112="","",IF(J112=210000,"Correct!","Try again!"))</f>
        <v>Correct!</v>
      </c>
      <c r="L112" s="6"/>
    </row>
    <row r="113" spans="1:12" x14ac:dyDescent="0.2">
      <c r="A113" s="89"/>
      <c r="B113" s="164" t="s">
        <v>82</v>
      </c>
      <c r="C113" s="164"/>
      <c r="D113" s="77">
        <f>SUM(E26:E29)</f>
        <v>515000</v>
      </c>
      <c r="E113" s="55"/>
      <c r="F113" s="40"/>
      <c r="G113" s="80"/>
      <c r="H113" s="41" t="s">
        <v>50</v>
      </c>
      <c r="I113" s="80">
        <v>460000</v>
      </c>
      <c r="J113" s="203"/>
      <c r="K113" s="30"/>
      <c r="L113" s="6"/>
    </row>
    <row r="114" spans="1:12" x14ac:dyDescent="0.2">
      <c r="A114" s="89"/>
      <c r="B114" s="172"/>
      <c r="C114" s="172"/>
      <c r="D114" s="55"/>
      <c r="E114" s="55"/>
      <c r="F114" s="200"/>
      <c r="G114" s="82"/>
      <c r="H114" s="200" t="s">
        <v>49</v>
      </c>
      <c r="I114" s="82">
        <v>55000</v>
      </c>
      <c r="J114" s="204">
        <f>D113+E113+G113-I113-I114</f>
        <v>0</v>
      </c>
      <c r="K114" s="30" t="str">
        <f>IF(J114="","",IF(J114=0,"Correct!","Try again!"))</f>
        <v>Correct!</v>
      </c>
      <c r="L114" s="6"/>
    </row>
    <row r="115" spans="1:12" ht="13.5" thickBot="1" x14ac:dyDescent="0.25">
      <c r="A115" s="89"/>
      <c r="B115" s="164" t="s">
        <v>122</v>
      </c>
      <c r="C115" s="164"/>
      <c r="D115" s="160">
        <f>SUM(D107:D114)</f>
        <v>1943000</v>
      </c>
      <c r="E115" s="160">
        <f>SUM(E107:E114)</f>
        <v>700000</v>
      </c>
      <c r="F115" s="201"/>
      <c r="G115" s="90"/>
      <c r="H115" s="201"/>
      <c r="I115" s="90"/>
      <c r="J115" s="206">
        <f>SUM(J107:J114)</f>
        <v>2183000</v>
      </c>
      <c r="K115" s="30" t="str">
        <f>IF(J115="","",IF(J115=2183000,"Correct!","Try again!"))</f>
        <v>Correct!</v>
      </c>
      <c r="L115" s="6"/>
    </row>
    <row r="116" spans="1:12" ht="13.5" thickTop="1" x14ac:dyDescent="0.2">
      <c r="A116" s="89"/>
      <c r="B116" s="164"/>
      <c r="C116" s="164"/>
      <c r="D116" s="55"/>
      <c r="E116" s="55"/>
      <c r="F116" s="201"/>
      <c r="G116" s="90"/>
      <c r="H116" s="201"/>
      <c r="I116" s="90"/>
      <c r="J116" s="56"/>
      <c r="K116" s="31"/>
      <c r="L116" s="6"/>
    </row>
    <row r="117" spans="1:12" x14ac:dyDescent="0.2">
      <c r="A117" s="89"/>
      <c r="B117" s="164" t="s">
        <v>10</v>
      </c>
      <c r="C117" s="164"/>
      <c r="D117" s="52">
        <v>-150000</v>
      </c>
      <c r="E117" s="52">
        <v>-40000</v>
      </c>
      <c r="F117" s="39"/>
      <c r="G117" s="79"/>
      <c r="H117" s="39"/>
      <c r="I117" s="158"/>
      <c r="J117" s="207">
        <f>D117+E117-G117+I117</f>
        <v>-190000</v>
      </c>
      <c r="K117" s="30" t="str">
        <f>IF(J117="","",IF(J117=-190000,"Correct!","Try again!"))</f>
        <v>Correct!</v>
      </c>
      <c r="L117" s="6"/>
    </row>
    <row r="118" spans="1:12" x14ac:dyDescent="0.2">
      <c r="A118" s="89"/>
      <c r="B118" s="164" t="s">
        <v>11</v>
      </c>
      <c r="C118" s="164"/>
      <c r="D118" s="77">
        <f>-(430000+E26)</f>
        <v>-630000</v>
      </c>
      <c r="E118" s="55">
        <v>-200000</v>
      </c>
      <c r="F118" s="40"/>
      <c r="G118" s="80"/>
      <c r="H118" s="40"/>
      <c r="I118" s="157"/>
      <c r="J118" s="203">
        <f>D118+E118+G118-I118</f>
        <v>-830000</v>
      </c>
      <c r="K118" s="30" t="str">
        <f>IF(J118="","",IF(J118=-830000,"Correct!","Try again!"))</f>
        <v>Correct!</v>
      </c>
      <c r="L118" s="6"/>
    </row>
    <row r="119" spans="1:12" x14ac:dyDescent="0.2">
      <c r="A119" s="89"/>
      <c r="B119" s="164" t="s">
        <v>44</v>
      </c>
      <c r="C119" s="164"/>
      <c r="D119" s="78">
        <f>-(110000+E27)</f>
        <v>-130000</v>
      </c>
      <c r="E119" s="55">
        <v>-120000</v>
      </c>
      <c r="F119" s="41" t="s">
        <v>50</v>
      </c>
      <c r="G119" s="80">
        <v>120000</v>
      </c>
      <c r="H119" s="40"/>
      <c r="I119" s="157"/>
      <c r="J119" s="203">
        <f>D119+E119+G119-I119</f>
        <v>-130000</v>
      </c>
      <c r="K119" s="30" t="str">
        <f>IF(J119="","",IF(J119=-130000,"Correct!","Try again!"))</f>
        <v>Correct!</v>
      </c>
      <c r="L119" s="6"/>
    </row>
    <row r="120" spans="1:12" x14ac:dyDescent="0.2">
      <c r="A120" s="89"/>
      <c r="B120" s="164" t="s">
        <v>52</v>
      </c>
      <c r="C120" s="164"/>
      <c r="D120" s="77">
        <f>-(D88)</f>
        <v>-528000</v>
      </c>
      <c r="E120" s="55">
        <v>0</v>
      </c>
      <c r="F120" s="40"/>
      <c r="G120" s="80"/>
      <c r="H120" s="40"/>
      <c r="I120" s="157"/>
      <c r="J120" s="203">
        <f>D120+E120+G120-I120</f>
        <v>-528000</v>
      </c>
      <c r="K120" s="30" t="str">
        <f>IF(J120="","",IF(J120=-528000,"Correct!","Try again!"))</f>
        <v>Correct!</v>
      </c>
      <c r="L120" s="6"/>
    </row>
    <row r="121" spans="1:12" x14ac:dyDescent="0.2">
      <c r="A121" s="89"/>
      <c r="B121" s="164" t="s">
        <v>168</v>
      </c>
      <c r="C121" s="164"/>
      <c r="D121" s="92">
        <v>-505000</v>
      </c>
      <c r="E121" s="92">
        <v>-340000</v>
      </c>
      <c r="F121" s="42" t="s">
        <v>50</v>
      </c>
      <c r="G121" s="162">
        <v>340000</v>
      </c>
      <c r="H121" s="43"/>
      <c r="I121" s="208"/>
      <c r="J121" s="204">
        <f>D121+E121+G121-I121</f>
        <v>-505000</v>
      </c>
      <c r="K121" s="30" t="str">
        <f>IF(J121="","",IF(J121=-505000,"Correct!","Try again!"))</f>
        <v>Correct!</v>
      </c>
      <c r="L121" s="6"/>
    </row>
    <row r="122" spans="1:12" ht="13.5" thickBot="1" x14ac:dyDescent="0.25">
      <c r="A122" s="89"/>
      <c r="B122" s="164" t="s">
        <v>121</v>
      </c>
      <c r="C122" s="164"/>
      <c r="D122" s="161">
        <f>SUM(D117:D121)</f>
        <v>-1943000</v>
      </c>
      <c r="E122" s="161">
        <f>SUM(E117:E121)</f>
        <v>-700000</v>
      </c>
      <c r="F122" s="5"/>
      <c r="G122" s="124">
        <f>SUM(G107:G121)</f>
        <v>515000</v>
      </c>
      <c r="H122" s="5"/>
      <c r="I122" s="209">
        <f>SUM(I107:I121)</f>
        <v>515000</v>
      </c>
      <c r="J122" s="210">
        <f>SUM(J117:J121)</f>
        <v>-2183000</v>
      </c>
      <c r="K122" s="30" t="str">
        <f>IF(J122="","",IF(J122=-2183000,"Correct!","Try again!"))</f>
        <v>Correct!</v>
      </c>
      <c r="L122" s="6"/>
    </row>
    <row r="123" spans="1:12" ht="13.5" thickTop="1" x14ac:dyDescent="0.2">
      <c r="A123" s="89"/>
      <c r="B123" s="7"/>
      <c r="C123" s="7"/>
      <c r="D123" s="7"/>
      <c r="E123" s="7"/>
      <c r="F123" s="7"/>
      <c r="G123" s="30" t="str">
        <f>IF(G122="","",IF(G122=515000,"Correct!","Try again!"))</f>
        <v>Correct!</v>
      </c>
      <c r="H123" s="7"/>
      <c r="I123" s="30" t="str">
        <f>IF(I122="","",IF(I122=515000,"Correct!","Try again!"))</f>
        <v>Correct!</v>
      </c>
      <c r="J123" s="4"/>
      <c r="K123" s="4"/>
    </row>
    <row r="124" spans="1:12" x14ac:dyDescent="0.2">
      <c r="B124" s="6"/>
      <c r="C124" s="6"/>
      <c r="D124" s="6"/>
      <c r="E124" s="6"/>
      <c r="F124" s="6"/>
      <c r="G124" s="6"/>
      <c r="H124" s="6"/>
      <c r="I124" s="6"/>
      <c r="J124" s="6"/>
    </row>
    <row r="125" spans="1:12" x14ac:dyDescent="0.2">
      <c r="B125" s="6"/>
      <c r="C125" s="6"/>
      <c r="D125" s="6"/>
      <c r="E125" s="6"/>
      <c r="F125" s="6"/>
      <c r="G125" s="6"/>
      <c r="H125" s="6"/>
      <c r="I125" s="6"/>
      <c r="J125" s="6"/>
    </row>
    <row r="126" spans="1:12" x14ac:dyDescent="0.2">
      <c r="B126" s="6"/>
      <c r="C126" s="6"/>
      <c r="D126" s="6"/>
      <c r="E126" s="6"/>
      <c r="F126" s="6"/>
      <c r="G126" s="6"/>
      <c r="H126" s="6"/>
      <c r="I126" s="6"/>
      <c r="J126" s="6"/>
    </row>
    <row r="127" spans="1:12" x14ac:dyDescent="0.2">
      <c r="B127" s="6"/>
      <c r="C127" s="6"/>
      <c r="D127" s="6"/>
      <c r="E127" s="6"/>
      <c r="F127" s="6"/>
      <c r="G127" s="6"/>
      <c r="H127" s="6"/>
      <c r="I127" s="6"/>
      <c r="J127" s="6"/>
    </row>
    <row r="128" spans="1:12" x14ac:dyDescent="0.2">
      <c r="B128" s="6"/>
      <c r="C128" s="6"/>
      <c r="D128" s="6"/>
      <c r="E128" s="6"/>
      <c r="F128" s="6"/>
      <c r="G128" s="6"/>
      <c r="H128" s="6"/>
      <c r="I128" s="6"/>
      <c r="J128" s="6"/>
    </row>
    <row r="129" spans="2:13" x14ac:dyDescent="0.2">
      <c r="B129" s="6"/>
      <c r="C129" s="6"/>
      <c r="D129" s="6"/>
      <c r="E129" s="6"/>
      <c r="F129" s="6"/>
      <c r="G129" s="6"/>
      <c r="H129" s="6"/>
      <c r="I129" s="6"/>
      <c r="J129" s="6"/>
    </row>
    <row r="130" spans="2:13" x14ac:dyDescent="0.2">
      <c r="B130" s="6"/>
      <c r="C130" s="6"/>
      <c r="D130" s="6"/>
      <c r="E130" s="6"/>
      <c r="F130" s="6"/>
      <c r="G130" s="6"/>
      <c r="H130" s="6"/>
      <c r="I130" s="6"/>
      <c r="J130" s="6"/>
    </row>
    <row r="131" spans="2:13" x14ac:dyDescent="0.2">
      <c r="B131" s="6"/>
      <c r="C131" s="6"/>
      <c r="D131" s="6"/>
      <c r="E131" s="6"/>
      <c r="F131" s="6"/>
      <c r="G131" s="6"/>
      <c r="H131" s="6"/>
      <c r="I131" s="6"/>
      <c r="J131" s="6"/>
    </row>
    <row r="132" spans="2:13" x14ac:dyDescent="0.2">
      <c r="B132" s="6"/>
      <c r="C132" s="6"/>
      <c r="D132" s="6"/>
      <c r="E132" s="6"/>
      <c r="F132" s="6"/>
      <c r="G132" s="6"/>
      <c r="H132" s="6"/>
      <c r="I132" s="6"/>
      <c r="J132" s="6"/>
    </row>
    <row r="133" spans="2:13" x14ac:dyDescent="0.2">
      <c r="B133" s="6"/>
      <c r="C133" s="6"/>
      <c r="D133" s="6"/>
      <c r="E133" s="6"/>
      <c r="F133" s="6"/>
      <c r="G133" s="6"/>
      <c r="H133" s="6"/>
      <c r="I133" s="6"/>
      <c r="J133" s="6"/>
    </row>
    <row r="134" spans="2:13" x14ac:dyDescent="0.2">
      <c r="B134" s="6"/>
      <c r="C134" s="6"/>
      <c r="D134" s="6"/>
      <c r="E134" s="6"/>
      <c r="F134" s="6"/>
      <c r="G134" s="6"/>
      <c r="H134" s="6"/>
      <c r="I134" s="6"/>
      <c r="J134" s="6"/>
    </row>
    <row r="135" spans="2:13" x14ac:dyDescent="0.2">
      <c r="B135" s="6"/>
      <c r="C135" s="6"/>
      <c r="D135" s="6"/>
      <c r="E135" s="6"/>
      <c r="F135" s="6"/>
      <c r="G135" s="6"/>
      <c r="H135" s="6"/>
      <c r="I135" s="6"/>
      <c r="J135" s="6"/>
    </row>
    <row r="136" spans="2:13" x14ac:dyDescent="0.2">
      <c r="B136" s="6"/>
      <c r="C136" s="6"/>
      <c r="D136" s="6"/>
      <c r="E136" s="6"/>
      <c r="F136" s="6"/>
      <c r="G136" s="6"/>
      <c r="H136" s="6"/>
      <c r="I136" s="6"/>
      <c r="J136" s="6"/>
    </row>
    <row r="137" spans="2:13" x14ac:dyDescent="0.2">
      <c r="B137" s="6"/>
      <c r="C137" s="6"/>
      <c r="D137" s="6"/>
      <c r="E137" s="6"/>
      <c r="F137" s="6"/>
      <c r="G137" s="6"/>
      <c r="H137" s="6"/>
      <c r="I137" s="6"/>
      <c r="J137" s="6"/>
    </row>
    <row r="138" spans="2:13" x14ac:dyDescent="0.2">
      <c r="B138" s="6"/>
      <c r="C138" s="6"/>
      <c r="D138" s="6"/>
      <c r="E138" s="6"/>
      <c r="F138" s="6"/>
      <c r="G138" s="6"/>
      <c r="H138" s="6"/>
      <c r="I138" s="6"/>
      <c r="J138" s="6"/>
    </row>
    <row r="139" spans="2:13" x14ac:dyDescent="0.2">
      <c r="B139" s="6"/>
      <c r="C139" s="6"/>
      <c r="D139" s="6"/>
      <c r="E139" s="6"/>
      <c r="F139" s="6"/>
      <c r="G139" s="6"/>
      <c r="H139" s="6"/>
      <c r="I139" s="6"/>
      <c r="J139" s="6"/>
    </row>
    <row r="140" spans="2:13" x14ac:dyDescent="0.2">
      <c r="B140" s="6"/>
      <c r="C140" s="6"/>
      <c r="D140" s="6"/>
      <c r="E140" s="6"/>
      <c r="F140" s="6"/>
      <c r="G140" s="6"/>
      <c r="H140" s="6"/>
      <c r="I140" s="6"/>
      <c r="J140" s="6"/>
    </row>
    <row r="141" spans="2:13" x14ac:dyDescent="0.2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</row>
    <row r="142" spans="2:13" x14ac:dyDescent="0.2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2:13" x14ac:dyDescent="0.2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2:13" x14ac:dyDescent="0.2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2:13" x14ac:dyDescent="0.2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2:13" x14ac:dyDescent="0.2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2:13" x14ac:dyDescent="0.2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2:13" x14ac:dyDescent="0.2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2:13" x14ac:dyDescent="0.2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2:13" x14ac:dyDescent="0.2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2:13" x14ac:dyDescent="0.2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2:13" x14ac:dyDescent="0.2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2:13" x14ac:dyDescent="0.2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2:13" x14ac:dyDescent="0.2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2:13" x14ac:dyDescent="0.2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2:13" x14ac:dyDescent="0.2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2:13" x14ac:dyDescent="0.2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2:13" x14ac:dyDescent="0.2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2:13" x14ac:dyDescent="0.2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2:13" x14ac:dyDescent="0.2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2:13" x14ac:dyDescent="0.2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</row>
    <row r="162" spans="2:13" x14ac:dyDescent="0.2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</row>
    <row r="163" spans="2:13" x14ac:dyDescent="0.2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</row>
    <row r="164" spans="2:13" x14ac:dyDescent="0.2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</row>
    <row r="165" spans="2:13" x14ac:dyDescent="0.2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</row>
    <row r="166" spans="2:13" x14ac:dyDescent="0.2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</row>
    <row r="167" spans="2:13" x14ac:dyDescent="0.2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</row>
    <row r="168" spans="2:13" x14ac:dyDescent="0.2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</row>
    <row r="169" spans="2:13" x14ac:dyDescent="0.2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</row>
    <row r="170" spans="2:13" x14ac:dyDescent="0.2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</row>
    <row r="171" spans="2:13" x14ac:dyDescent="0.2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</row>
    <row r="172" spans="2:13" x14ac:dyDescent="0.2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</row>
    <row r="173" spans="2:13" x14ac:dyDescent="0.2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</row>
    <row r="174" spans="2:13" x14ac:dyDescent="0.2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</row>
    <row r="175" spans="2:13" x14ac:dyDescent="0.2">
      <c r="B175" s="6"/>
      <c r="C175" s="6"/>
      <c r="D175" s="6"/>
      <c r="E175" s="6"/>
      <c r="F175" s="6"/>
      <c r="G175" s="6"/>
      <c r="J175" s="6"/>
      <c r="K175" s="6"/>
      <c r="L175" s="6"/>
      <c r="M175" s="6"/>
    </row>
    <row r="176" spans="2:13" x14ac:dyDescent="0.2">
      <c r="B176" s="6"/>
      <c r="C176" s="6"/>
      <c r="J176" s="6"/>
      <c r="K176" s="6"/>
      <c r="L176" s="6"/>
      <c r="M176" s="6"/>
    </row>
    <row r="177" spans="2:13" x14ac:dyDescent="0.2">
      <c r="B177" s="6"/>
      <c r="C177" s="6"/>
      <c r="J177" s="6"/>
      <c r="K177" s="6"/>
      <c r="L177" s="6"/>
      <c r="M177" s="6"/>
    </row>
    <row r="178" spans="2:13" x14ac:dyDescent="0.2">
      <c r="B178" s="6"/>
      <c r="C178" s="6"/>
      <c r="J178" s="6"/>
      <c r="K178" s="6"/>
      <c r="L178" s="6"/>
      <c r="M178" s="6"/>
    </row>
    <row r="179" spans="2:13" x14ac:dyDescent="0.2">
      <c r="B179" s="6"/>
      <c r="C179" s="6"/>
    </row>
  </sheetData>
  <sheetProtection password="C690" sheet="1" objects="1" scenarios="1" selectLockedCells="1"/>
  <mergeCells count="126">
    <mergeCell ref="B110:C110"/>
    <mergeCell ref="B109:C109"/>
    <mergeCell ref="B108:C108"/>
    <mergeCell ref="B107:C107"/>
    <mergeCell ref="B116:C116"/>
    <mergeCell ref="B115:C115"/>
    <mergeCell ref="B114:C114"/>
    <mergeCell ref="B113:C113"/>
    <mergeCell ref="B112:C112"/>
    <mergeCell ref="B111:C111"/>
    <mergeCell ref="B122:C122"/>
    <mergeCell ref="B121:C121"/>
    <mergeCell ref="B120:C120"/>
    <mergeCell ref="B119:C119"/>
    <mergeCell ref="B118:C118"/>
    <mergeCell ref="B117:C117"/>
    <mergeCell ref="B76:C76"/>
    <mergeCell ref="B73:C73"/>
    <mergeCell ref="B70:C70"/>
    <mergeCell ref="B67:C67"/>
    <mergeCell ref="B64:C64"/>
    <mergeCell ref="B61:C61"/>
    <mergeCell ref="B66:C66"/>
    <mergeCell ref="B65:C65"/>
    <mergeCell ref="B63:C63"/>
    <mergeCell ref="B62:C62"/>
    <mergeCell ref="B94:C94"/>
    <mergeCell ref="B91:C91"/>
    <mergeCell ref="B88:C88"/>
    <mergeCell ref="B85:C85"/>
    <mergeCell ref="B87:C87"/>
    <mergeCell ref="B86:C86"/>
    <mergeCell ref="C2:D2"/>
    <mergeCell ref="C1:D1"/>
    <mergeCell ref="B15:E15"/>
    <mergeCell ref="B14:E14"/>
    <mergeCell ref="B13:E13"/>
    <mergeCell ref="B12:E12"/>
    <mergeCell ref="B8:E8"/>
    <mergeCell ref="E91:H93"/>
    <mergeCell ref="C3:D3"/>
    <mergeCell ref="B37:C37"/>
    <mergeCell ref="B36:C36"/>
    <mergeCell ref="B33:C33"/>
    <mergeCell ref="B32:C32"/>
    <mergeCell ref="B34:E34"/>
    <mergeCell ref="B27:C27"/>
    <mergeCell ref="B26:C26"/>
    <mergeCell ref="B25:C25"/>
    <mergeCell ref="E61:H63"/>
    <mergeCell ref="E64:H66"/>
    <mergeCell ref="E70:H72"/>
    <mergeCell ref="E67:H69"/>
    <mergeCell ref="B5:H5"/>
    <mergeCell ref="B29:C29"/>
    <mergeCell ref="B28:C28"/>
    <mergeCell ref="B52:E52"/>
    <mergeCell ref="B51:E51"/>
    <mergeCell ref="B50:E50"/>
    <mergeCell ref="B58:C58"/>
    <mergeCell ref="B44:F44"/>
    <mergeCell ref="B45:F45"/>
    <mergeCell ref="B16:E16"/>
    <mergeCell ref="B22:E22"/>
    <mergeCell ref="B21:E21"/>
    <mergeCell ref="B30:E30"/>
    <mergeCell ref="B17:E17"/>
    <mergeCell ref="E88:H90"/>
    <mergeCell ref="E85:H87"/>
    <mergeCell ref="E82:H84"/>
    <mergeCell ref="E79:H81"/>
    <mergeCell ref="E76:H78"/>
    <mergeCell ref="E73:H75"/>
    <mergeCell ref="B7:E7"/>
    <mergeCell ref="B6:E6"/>
    <mergeCell ref="B9:F11"/>
    <mergeCell ref="B18:E19"/>
    <mergeCell ref="B23:E23"/>
    <mergeCell ref="B20:E20"/>
    <mergeCell ref="B31:E31"/>
    <mergeCell ref="B39:E39"/>
    <mergeCell ref="B35:E35"/>
    <mergeCell ref="B40:F41"/>
    <mergeCell ref="B43:F43"/>
    <mergeCell ref="B42:F42"/>
    <mergeCell ref="B38:E38"/>
    <mergeCell ref="B69:C69"/>
    <mergeCell ref="B68:C68"/>
    <mergeCell ref="B46:F46"/>
    <mergeCell ref="B47:F47"/>
    <mergeCell ref="B48:F48"/>
    <mergeCell ref="B49:F49"/>
    <mergeCell ref="B53:F53"/>
    <mergeCell ref="B54:F54"/>
    <mergeCell ref="B57:C57"/>
    <mergeCell ref="E58:H60"/>
    <mergeCell ref="B83:C83"/>
    <mergeCell ref="B82:C82"/>
    <mergeCell ref="B55:F55"/>
    <mergeCell ref="B56:F56"/>
    <mergeCell ref="B78:C78"/>
    <mergeCell ref="B77:C77"/>
    <mergeCell ref="B75:C75"/>
    <mergeCell ref="B74:C74"/>
    <mergeCell ref="B72:C72"/>
    <mergeCell ref="B71:C71"/>
    <mergeCell ref="B93:C93"/>
    <mergeCell ref="B92:C92"/>
    <mergeCell ref="B90:C90"/>
    <mergeCell ref="B89:C89"/>
    <mergeCell ref="B60:C60"/>
    <mergeCell ref="B59:C59"/>
    <mergeCell ref="B81:C81"/>
    <mergeCell ref="B80:C80"/>
    <mergeCell ref="B79:C79"/>
    <mergeCell ref="B84:C84"/>
    <mergeCell ref="B99:E99"/>
    <mergeCell ref="B100:E100"/>
    <mergeCell ref="B105:C105"/>
    <mergeCell ref="B104:C104"/>
    <mergeCell ref="B96:C96"/>
    <mergeCell ref="B95:C95"/>
    <mergeCell ref="B103:K103"/>
    <mergeCell ref="B102:K102"/>
    <mergeCell ref="B101:K101"/>
    <mergeCell ref="E94:H96"/>
  </mergeCells>
  <phoneticPr fontId="0" type="noConversion"/>
  <dataValidations count="1">
    <dataValidation type="list" allowBlank="1" showInputMessage="1" showErrorMessage="1" sqref="F117:F121 H117:H121 H107:H114 F107:F114">
      <formula1>"[A], [S]"</formula1>
    </dataValidation>
  </dataValidations>
  <printOptions horizontalCentered="1"/>
  <pageMargins left="0.5" right="0.5" top="0.85" bottom="0.49" header="0.5" footer="0.5"/>
  <pageSetup scale="75" orientation="portrait" horizontalDpi="300" verticalDpi="300" r:id="rId1"/>
  <headerFooter alignWithMargins="0"/>
  <rowBreaks count="3" manualBreakCount="3">
    <brk id="56" max="16383" man="1"/>
    <brk id="98" max="16383" man="1"/>
    <brk id="15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3"/>
  <sheetViews>
    <sheetView showGridLines="0" workbookViewId="0">
      <selection sqref="A1:C1"/>
    </sheetView>
  </sheetViews>
  <sheetFormatPr defaultRowHeight="12.75" x14ac:dyDescent="0.2"/>
  <cols>
    <col min="1" max="1" width="2.7109375" customWidth="1"/>
    <col min="2" max="6" width="12.7109375" customWidth="1"/>
    <col min="7" max="7" width="2.7109375" customWidth="1"/>
    <col min="8" max="22" width="12.7109375" customWidth="1"/>
  </cols>
  <sheetData>
    <row r="1" spans="1:7" x14ac:dyDescent="0.2">
      <c r="A1" s="195" t="s">
        <v>166</v>
      </c>
      <c r="B1" s="195"/>
      <c r="C1" s="195"/>
    </row>
    <row r="3" spans="1:7" x14ac:dyDescent="0.2">
      <c r="A3" s="89"/>
      <c r="B3" s="179" t="s">
        <v>89</v>
      </c>
      <c r="C3" s="179"/>
      <c r="D3" s="179"/>
      <c r="E3" s="179"/>
      <c r="F3" s="179"/>
      <c r="G3" s="179"/>
    </row>
    <row r="4" spans="1:7" x14ac:dyDescent="0.2">
      <c r="A4" s="89"/>
      <c r="B4" s="172"/>
      <c r="C4" s="172"/>
      <c r="D4" s="172"/>
      <c r="E4" s="172"/>
      <c r="F4" s="4"/>
      <c r="G4" s="4"/>
    </row>
    <row r="5" spans="1:7" x14ac:dyDescent="0.2">
      <c r="A5" s="89"/>
      <c r="B5" s="164" t="s">
        <v>101</v>
      </c>
      <c r="C5" s="164"/>
      <c r="D5" s="164"/>
      <c r="E5" s="164"/>
      <c r="F5" s="8">
        <v>1</v>
      </c>
      <c r="G5" s="7"/>
    </row>
    <row r="6" spans="1:7" x14ac:dyDescent="0.2">
      <c r="A6" s="89"/>
      <c r="B6" s="164" t="s">
        <v>102</v>
      </c>
      <c r="C6" s="164"/>
      <c r="D6" s="164"/>
      <c r="E6" s="164"/>
      <c r="F6" s="4"/>
      <c r="G6" s="7"/>
    </row>
    <row r="7" spans="1:7" x14ac:dyDescent="0.2">
      <c r="A7" s="89"/>
      <c r="B7" s="164" t="s">
        <v>103</v>
      </c>
      <c r="C7" s="164"/>
      <c r="D7" s="164"/>
      <c r="E7" s="164"/>
      <c r="F7" s="52">
        <v>200000</v>
      </c>
      <c r="G7" s="7"/>
    </row>
    <row r="8" spans="1:7" x14ac:dyDescent="0.2">
      <c r="A8" s="89"/>
      <c r="B8" s="164" t="s">
        <v>104</v>
      </c>
      <c r="C8" s="164"/>
      <c r="D8" s="164"/>
      <c r="E8" s="164"/>
      <c r="F8" s="53">
        <v>20000</v>
      </c>
      <c r="G8" s="7"/>
    </row>
    <row r="9" spans="1:7" x14ac:dyDescent="0.2">
      <c r="A9" s="89"/>
      <c r="B9" s="164" t="s">
        <v>3</v>
      </c>
      <c r="C9" s="164"/>
      <c r="D9" s="164"/>
      <c r="E9" s="164"/>
      <c r="F9" s="54"/>
      <c r="G9" s="7"/>
    </row>
    <row r="10" spans="1:7" x14ac:dyDescent="0.2">
      <c r="A10" s="89"/>
      <c r="B10" s="164" t="s">
        <v>105</v>
      </c>
      <c r="C10" s="164"/>
      <c r="D10" s="164"/>
      <c r="E10" s="164"/>
      <c r="F10" s="52">
        <v>10</v>
      </c>
      <c r="G10" s="7"/>
    </row>
    <row r="11" spans="1:7" x14ac:dyDescent="0.2">
      <c r="A11" s="89"/>
      <c r="B11" s="164" t="s">
        <v>106</v>
      </c>
      <c r="C11" s="164"/>
      <c r="D11" s="164"/>
      <c r="E11" s="164"/>
      <c r="F11" s="53">
        <v>30000</v>
      </c>
      <c r="G11" s="7"/>
    </row>
    <row r="12" spans="1:7" x14ac:dyDescent="0.2">
      <c r="A12" s="89"/>
      <c r="B12" s="164" t="s">
        <v>107</v>
      </c>
      <c r="C12" s="164"/>
      <c r="D12" s="164"/>
      <c r="E12" s="164"/>
      <c r="F12" s="53">
        <v>12000</v>
      </c>
      <c r="G12" s="7"/>
    </row>
    <row r="13" spans="1:7" x14ac:dyDescent="0.2">
      <c r="A13" s="89"/>
      <c r="B13" s="164" t="s">
        <v>108</v>
      </c>
      <c r="C13" s="164"/>
      <c r="D13" s="164"/>
      <c r="E13" s="164"/>
      <c r="F13" s="53">
        <v>5000</v>
      </c>
      <c r="G13" s="7"/>
    </row>
    <row r="14" spans="1:7" x14ac:dyDescent="0.2">
      <c r="A14" s="89"/>
      <c r="B14" s="164" t="s">
        <v>109</v>
      </c>
      <c r="C14" s="164"/>
      <c r="D14" s="164"/>
      <c r="E14" s="164"/>
      <c r="F14" s="53">
        <v>20000</v>
      </c>
      <c r="G14" s="7"/>
    </row>
    <row r="15" spans="1:7" x14ac:dyDescent="0.2">
      <c r="A15" s="89"/>
      <c r="B15" s="164" t="s">
        <v>110</v>
      </c>
      <c r="C15" s="164"/>
      <c r="D15" s="164"/>
      <c r="E15" s="164"/>
      <c r="F15" s="53">
        <v>30000</v>
      </c>
      <c r="G15" s="7"/>
    </row>
    <row r="16" spans="1:7" x14ac:dyDescent="0.2">
      <c r="A16" s="89"/>
      <c r="B16" s="164"/>
      <c r="C16" s="164"/>
      <c r="D16" s="164"/>
      <c r="E16" s="164"/>
      <c r="F16" s="4"/>
      <c r="G16" s="7"/>
    </row>
    <row r="17" spans="1:7" x14ac:dyDescent="0.2">
      <c r="A17" s="89"/>
      <c r="B17" s="164"/>
      <c r="C17" s="164"/>
      <c r="D17" s="17" t="s">
        <v>78</v>
      </c>
      <c r="E17" s="17" t="s">
        <v>79</v>
      </c>
      <c r="F17" s="7"/>
      <c r="G17" s="7"/>
    </row>
    <row r="18" spans="1:7" x14ac:dyDescent="0.2">
      <c r="A18" s="89"/>
      <c r="B18" s="164"/>
      <c r="C18" s="164"/>
      <c r="D18" s="17" t="s">
        <v>24</v>
      </c>
      <c r="E18" s="17" t="s">
        <v>24</v>
      </c>
      <c r="F18" s="34"/>
      <c r="G18" s="7"/>
    </row>
    <row r="19" spans="1:7" x14ac:dyDescent="0.2">
      <c r="A19" s="89"/>
      <c r="B19" s="164"/>
      <c r="C19" s="164"/>
      <c r="D19" s="15" t="s">
        <v>27</v>
      </c>
      <c r="E19" s="15" t="s">
        <v>27</v>
      </c>
      <c r="F19" s="7"/>
      <c r="G19" s="7"/>
    </row>
    <row r="20" spans="1:7" x14ac:dyDescent="0.2">
      <c r="A20" s="89"/>
      <c r="B20" s="166"/>
      <c r="C20" s="166"/>
      <c r="D20" s="12" t="s">
        <v>12</v>
      </c>
      <c r="E20" s="12" t="s">
        <v>12</v>
      </c>
      <c r="F20" s="7"/>
      <c r="G20" s="7"/>
    </row>
    <row r="21" spans="1:7" x14ac:dyDescent="0.2">
      <c r="A21" s="89"/>
      <c r="B21" s="168" t="s">
        <v>4</v>
      </c>
      <c r="C21" s="168"/>
      <c r="D21" s="52">
        <v>60000</v>
      </c>
      <c r="E21" s="52">
        <v>20000</v>
      </c>
      <c r="F21" s="7"/>
      <c r="G21" s="7"/>
    </row>
    <row r="22" spans="1:7" x14ac:dyDescent="0.2">
      <c r="A22" s="89"/>
      <c r="B22" s="164" t="s">
        <v>5</v>
      </c>
      <c r="C22" s="164"/>
      <c r="D22" s="55">
        <v>270000</v>
      </c>
      <c r="E22" s="55">
        <v>90000</v>
      </c>
      <c r="F22" s="7"/>
      <c r="G22" s="7"/>
    </row>
    <row r="23" spans="1:7" x14ac:dyDescent="0.2">
      <c r="A23" s="89"/>
      <c r="B23" s="164" t="s">
        <v>6</v>
      </c>
      <c r="C23" s="164"/>
      <c r="D23" s="56">
        <v>360000</v>
      </c>
      <c r="E23" s="56">
        <v>140000</v>
      </c>
      <c r="F23" s="7"/>
      <c r="G23" s="4"/>
    </row>
    <row r="24" spans="1:7" x14ac:dyDescent="0.2">
      <c r="A24" s="89"/>
      <c r="B24" s="164" t="s">
        <v>7</v>
      </c>
      <c r="C24" s="164"/>
      <c r="D24" s="56">
        <v>200000</v>
      </c>
      <c r="E24" s="56">
        <v>180000</v>
      </c>
      <c r="F24" s="7"/>
      <c r="G24" s="4"/>
    </row>
    <row r="25" spans="1:7" x14ac:dyDescent="0.2">
      <c r="A25" s="89"/>
      <c r="B25" s="164" t="s">
        <v>8</v>
      </c>
      <c r="C25" s="164"/>
      <c r="D25" s="56">
        <v>420000</v>
      </c>
      <c r="E25" s="56">
        <v>220000</v>
      </c>
      <c r="F25" s="7"/>
      <c r="G25" s="4"/>
    </row>
    <row r="26" spans="1:7" x14ac:dyDescent="0.2">
      <c r="A26" s="89"/>
      <c r="B26" s="164" t="s">
        <v>9</v>
      </c>
      <c r="C26" s="164"/>
      <c r="D26" s="56">
        <v>160000</v>
      </c>
      <c r="E26" s="56">
        <v>50000</v>
      </c>
      <c r="F26" s="7"/>
      <c r="G26" s="4"/>
    </row>
    <row r="27" spans="1:7" x14ac:dyDescent="0.2">
      <c r="A27" s="89"/>
      <c r="B27" s="164" t="s">
        <v>10</v>
      </c>
      <c r="C27" s="164"/>
      <c r="D27" s="56">
        <v>-150000</v>
      </c>
      <c r="E27" s="56">
        <v>-40000</v>
      </c>
      <c r="F27" s="7"/>
      <c r="G27" s="4"/>
    </row>
    <row r="28" spans="1:7" x14ac:dyDescent="0.2">
      <c r="A28" s="89"/>
      <c r="B28" s="164" t="s">
        <v>11</v>
      </c>
      <c r="C28" s="164"/>
      <c r="D28" s="56">
        <v>-430000</v>
      </c>
      <c r="E28" s="56">
        <v>-200000</v>
      </c>
      <c r="F28" s="7"/>
      <c r="G28" s="4"/>
    </row>
    <row r="29" spans="1:7" x14ac:dyDescent="0.2">
      <c r="A29" s="89"/>
      <c r="B29" s="164" t="s">
        <v>25</v>
      </c>
      <c r="C29" s="164"/>
      <c r="D29" s="56">
        <v>-110000</v>
      </c>
      <c r="E29" s="56"/>
      <c r="F29" s="7"/>
      <c r="G29" s="4"/>
    </row>
    <row r="30" spans="1:7" x14ac:dyDescent="0.2">
      <c r="A30" s="89"/>
      <c r="B30" s="164" t="s">
        <v>51</v>
      </c>
      <c r="C30" s="164"/>
      <c r="D30" s="56"/>
      <c r="E30" s="56">
        <v>-120000</v>
      </c>
      <c r="F30" s="7"/>
      <c r="G30" s="4"/>
    </row>
    <row r="31" spans="1:7" x14ac:dyDescent="0.2">
      <c r="A31" s="89"/>
      <c r="B31" s="164" t="s">
        <v>26</v>
      </c>
      <c r="C31" s="164"/>
      <c r="D31" s="56">
        <v>-360000</v>
      </c>
      <c r="E31" s="56"/>
      <c r="F31" s="7"/>
      <c r="G31" s="4"/>
    </row>
    <row r="32" spans="1:7" x14ac:dyDescent="0.2">
      <c r="A32" s="89"/>
      <c r="B32" s="164" t="s">
        <v>168</v>
      </c>
      <c r="C32" s="164"/>
      <c r="D32" s="56">
        <v>-420000</v>
      </c>
      <c r="E32" s="56">
        <v>-340000</v>
      </c>
      <c r="F32" s="7"/>
      <c r="G32" s="4"/>
    </row>
    <row r="33" spans="1:7" x14ac:dyDescent="0.2">
      <c r="A33" s="89"/>
      <c r="B33" s="4"/>
      <c r="C33" s="4"/>
      <c r="D33" s="4"/>
      <c r="E33" s="4"/>
      <c r="F33" s="4"/>
      <c r="G33" s="4"/>
    </row>
  </sheetData>
  <sheetProtection password="C690" sheet="1" objects="1" scenarios="1" selectLockedCells="1" selectUnlockedCells="1"/>
  <mergeCells count="31">
    <mergeCell ref="B23:C23"/>
    <mergeCell ref="B22:C22"/>
    <mergeCell ref="B21:C21"/>
    <mergeCell ref="B7:E7"/>
    <mergeCell ref="B6:E6"/>
    <mergeCell ref="B5:E5"/>
    <mergeCell ref="B32:C32"/>
    <mergeCell ref="B31:C31"/>
    <mergeCell ref="B30:C30"/>
    <mergeCell ref="B29:C29"/>
    <mergeCell ref="B28:C28"/>
    <mergeCell ref="B27:C27"/>
    <mergeCell ref="B26:C26"/>
    <mergeCell ref="B25:C25"/>
    <mergeCell ref="B24:C24"/>
    <mergeCell ref="B13:E13"/>
    <mergeCell ref="B12:E12"/>
    <mergeCell ref="B11:E11"/>
    <mergeCell ref="B10:E10"/>
    <mergeCell ref="B9:E9"/>
    <mergeCell ref="B8:E8"/>
    <mergeCell ref="A1:C1"/>
    <mergeCell ref="B4:E4"/>
    <mergeCell ref="B16:E16"/>
    <mergeCell ref="B20:C20"/>
    <mergeCell ref="B19:C19"/>
    <mergeCell ref="B18:C18"/>
    <mergeCell ref="B17:C17"/>
    <mergeCell ref="B3:G3"/>
    <mergeCell ref="B15:E15"/>
    <mergeCell ref="B14:E14"/>
  </mergeCells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N98"/>
  <sheetViews>
    <sheetView showGridLines="0" zoomScaleNormal="100" workbookViewId="0">
      <selection activeCell="C1" sqref="C1:D1"/>
    </sheetView>
  </sheetViews>
  <sheetFormatPr defaultRowHeight="12.75" x14ac:dyDescent="0.2"/>
  <cols>
    <col min="1" max="1" width="2.7109375" customWidth="1"/>
    <col min="2" max="5" width="12.7109375" customWidth="1"/>
    <col min="6" max="6" width="4.5703125" customWidth="1"/>
    <col min="7" max="7" width="12.7109375" customWidth="1"/>
    <col min="8" max="8" width="4.5703125" customWidth="1"/>
    <col min="9" max="23" width="12.7109375" customWidth="1"/>
  </cols>
  <sheetData>
    <row r="1" spans="1:11" x14ac:dyDescent="0.2">
      <c r="B1" s="1" t="s">
        <v>0</v>
      </c>
      <c r="C1" s="191" t="s">
        <v>1</v>
      </c>
      <c r="D1" s="191"/>
      <c r="E1" s="106"/>
      <c r="J1" s="88"/>
      <c r="K1" s="88"/>
    </row>
    <row r="2" spans="1:11" x14ac:dyDescent="0.2">
      <c r="B2" s="1" t="s">
        <v>2</v>
      </c>
      <c r="C2" s="191" t="s">
        <v>161</v>
      </c>
      <c r="D2" s="191"/>
      <c r="E2" s="106"/>
      <c r="J2" s="88"/>
      <c r="K2" s="88"/>
    </row>
    <row r="3" spans="1:11" x14ac:dyDescent="0.2">
      <c r="C3" s="187" t="s">
        <v>165</v>
      </c>
      <c r="D3" s="187"/>
      <c r="E3" s="3"/>
      <c r="J3" s="87"/>
      <c r="K3" s="87"/>
    </row>
    <row r="4" spans="1:11" x14ac:dyDescent="0.2">
      <c r="E4" s="2"/>
      <c r="F4" s="3"/>
    </row>
    <row r="5" spans="1:11" x14ac:dyDescent="0.2">
      <c r="A5" s="89"/>
      <c r="B5" s="22"/>
      <c r="C5" s="22"/>
      <c r="D5" s="4"/>
      <c r="E5" s="23"/>
      <c r="F5" s="26"/>
      <c r="G5" s="4"/>
      <c r="H5" s="4"/>
      <c r="I5" s="4"/>
    </row>
    <row r="6" spans="1:11" x14ac:dyDescent="0.2">
      <c r="A6" s="89"/>
      <c r="B6" s="196" t="s">
        <v>54</v>
      </c>
      <c r="C6" s="196"/>
      <c r="D6" s="196"/>
      <c r="E6" s="196"/>
      <c r="F6" s="26"/>
      <c r="G6" s="4"/>
      <c r="H6" s="4"/>
      <c r="I6" s="4"/>
    </row>
    <row r="7" spans="1:11" x14ac:dyDescent="0.2">
      <c r="A7" s="89"/>
      <c r="B7" s="164"/>
      <c r="C7" s="164"/>
      <c r="D7" s="164"/>
      <c r="E7" s="164"/>
      <c r="F7" s="164"/>
      <c r="G7" s="4"/>
      <c r="H7" s="4"/>
      <c r="I7" s="4"/>
    </row>
    <row r="8" spans="1:11" x14ac:dyDescent="0.2">
      <c r="A8" s="89"/>
      <c r="B8" s="167" t="s">
        <v>84</v>
      </c>
      <c r="C8" s="167"/>
      <c r="D8" s="167"/>
      <c r="E8" s="167"/>
      <c r="F8" s="167"/>
      <c r="G8" s="67">
        <v>495000</v>
      </c>
      <c r="H8" s="26"/>
      <c r="I8" s="4"/>
    </row>
    <row r="9" spans="1:11" x14ac:dyDescent="0.2">
      <c r="A9" s="89"/>
      <c r="B9" s="167" t="s">
        <v>77</v>
      </c>
      <c r="C9" s="167"/>
      <c r="D9" s="167"/>
      <c r="E9" s="167"/>
      <c r="F9" s="167"/>
      <c r="G9" s="76">
        <f>350000-25000-60000</f>
        <v>265000</v>
      </c>
      <c r="H9" s="26"/>
      <c r="I9" s="4"/>
    </row>
    <row r="10" spans="1:11" x14ac:dyDescent="0.2">
      <c r="A10" s="89"/>
      <c r="B10" s="164" t="s">
        <v>96</v>
      </c>
      <c r="C10" s="164"/>
      <c r="D10" s="164"/>
      <c r="E10" s="164"/>
      <c r="F10" s="164"/>
      <c r="G10" s="77">
        <f>G8-G9</f>
        <v>230000</v>
      </c>
      <c r="H10" s="37" t="str">
        <f>IF(G10="","",IF(G10=230000,"Correct!","Try again!"))</f>
        <v>Correct!</v>
      </c>
      <c r="I10" s="4"/>
    </row>
    <row r="11" spans="1:11" x14ac:dyDescent="0.2">
      <c r="A11" s="89"/>
      <c r="B11" s="164" t="s">
        <v>97</v>
      </c>
      <c r="C11" s="164"/>
      <c r="D11" s="164"/>
      <c r="E11" s="164"/>
      <c r="F11" s="164"/>
      <c r="G11" s="4"/>
      <c r="H11" s="4"/>
      <c r="I11" s="4"/>
    </row>
    <row r="12" spans="1:11" x14ac:dyDescent="0.2">
      <c r="A12" s="89"/>
      <c r="B12" s="164" t="s">
        <v>98</v>
      </c>
      <c r="C12" s="164"/>
      <c r="D12" s="164"/>
      <c r="E12" s="164"/>
      <c r="F12" s="164"/>
      <c r="G12" s="4"/>
      <c r="H12" s="4"/>
      <c r="I12" s="4"/>
    </row>
    <row r="13" spans="1:11" x14ac:dyDescent="0.2">
      <c r="A13" s="89"/>
      <c r="B13" s="164" t="s">
        <v>68</v>
      </c>
      <c r="C13" s="164"/>
      <c r="D13" s="164"/>
      <c r="E13" s="77">
        <f>70000-20000</f>
        <v>50000</v>
      </c>
      <c r="F13" s="7"/>
      <c r="G13" s="7"/>
      <c r="H13" s="4"/>
      <c r="I13" s="4"/>
    </row>
    <row r="14" spans="1:11" x14ac:dyDescent="0.2">
      <c r="A14" s="89"/>
      <c r="B14" s="164" t="s">
        <v>70</v>
      </c>
      <c r="C14" s="164"/>
      <c r="D14" s="164"/>
      <c r="E14" s="78">
        <f>30000-40000</f>
        <v>-10000</v>
      </c>
      <c r="F14" s="7"/>
      <c r="G14" s="7"/>
      <c r="H14" s="4"/>
      <c r="I14" s="4"/>
    </row>
    <row r="15" spans="1:11" x14ac:dyDescent="0.2">
      <c r="A15" s="89"/>
      <c r="B15" s="164" t="s">
        <v>69</v>
      </c>
      <c r="C15" s="164"/>
      <c r="D15" s="164"/>
      <c r="E15" s="78">
        <f>100000</f>
        <v>100000</v>
      </c>
      <c r="F15" s="7"/>
      <c r="G15" s="7"/>
      <c r="H15" s="4"/>
      <c r="I15" s="4"/>
    </row>
    <row r="16" spans="1:11" x14ac:dyDescent="0.2">
      <c r="A16" s="89"/>
      <c r="B16" s="164" t="s">
        <v>172</v>
      </c>
      <c r="C16" s="164"/>
      <c r="D16" s="164"/>
      <c r="E16" s="78">
        <f>40000</f>
        <v>40000</v>
      </c>
      <c r="F16" s="7"/>
      <c r="G16" s="7"/>
      <c r="H16" s="4"/>
      <c r="I16" s="4"/>
      <c r="K16" s="29"/>
    </row>
    <row r="17" spans="1:14" x14ac:dyDescent="0.2">
      <c r="A17" s="89"/>
      <c r="B17" s="164" t="s">
        <v>71</v>
      </c>
      <c r="C17" s="164"/>
      <c r="D17" s="164"/>
      <c r="E17" s="69">
        <v>-5000</v>
      </c>
      <c r="F17" s="7"/>
      <c r="G17" s="50">
        <f>SUM(E13:E17)</f>
        <v>175000</v>
      </c>
      <c r="H17" s="4"/>
      <c r="I17" s="4"/>
    </row>
    <row r="18" spans="1:14" ht="13.5" thickBot="1" x14ac:dyDescent="0.25">
      <c r="A18" s="89"/>
      <c r="B18" s="164" t="s">
        <v>22</v>
      </c>
      <c r="C18" s="164"/>
      <c r="D18" s="164"/>
      <c r="E18" s="164"/>
      <c r="F18" s="164"/>
      <c r="G18" s="75">
        <f>G10-G17</f>
        <v>55000</v>
      </c>
      <c r="H18" s="37" t="str">
        <f>IF(G18="","",IF(G18=55000,"Correct!","Try again!"))</f>
        <v>Correct!</v>
      </c>
      <c r="I18" s="4"/>
    </row>
    <row r="19" spans="1:14" ht="13.5" thickTop="1" x14ac:dyDescent="0.2">
      <c r="A19" s="89"/>
      <c r="B19" s="7"/>
      <c r="C19" s="7"/>
      <c r="D19" s="7"/>
      <c r="E19" s="4"/>
      <c r="F19" s="4"/>
      <c r="G19" s="4"/>
      <c r="H19" s="4"/>
      <c r="I19" s="4"/>
      <c r="J19" s="32"/>
    </row>
    <row r="20" spans="1:14" x14ac:dyDescent="0.2">
      <c r="B20" s="16"/>
      <c r="C20" s="16"/>
      <c r="D20" s="16"/>
      <c r="E20" s="16"/>
      <c r="F20" s="16"/>
      <c r="G20" s="16"/>
      <c r="H20" s="16"/>
      <c r="I20" s="16"/>
      <c r="J20" s="16"/>
      <c r="K20" s="6"/>
      <c r="L20" s="6"/>
      <c r="M20" s="6"/>
      <c r="N20" s="6"/>
    </row>
    <row r="21" spans="1:14" x14ac:dyDescent="0.2">
      <c r="A21" s="89"/>
      <c r="B21" s="179" t="s">
        <v>72</v>
      </c>
      <c r="C21" s="179"/>
      <c r="D21" s="179"/>
      <c r="E21" s="179"/>
      <c r="F21" s="179"/>
      <c r="G21" s="179"/>
      <c r="H21" s="179"/>
      <c r="I21" s="179"/>
      <c r="J21" s="179"/>
      <c r="K21" s="7"/>
      <c r="L21" s="6"/>
      <c r="M21" s="6"/>
      <c r="N21" s="6"/>
    </row>
    <row r="22" spans="1:14" ht="15" customHeight="1" x14ac:dyDescent="0.2">
      <c r="A22" s="89"/>
      <c r="B22" s="179" t="s">
        <v>45</v>
      </c>
      <c r="C22" s="179"/>
      <c r="D22" s="179"/>
      <c r="E22" s="179"/>
      <c r="F22" s="179"/>
      <c r="G22" s="179"/>
      <c r="H22" s="179"/>
      <c r="I22" s="179"/>
      <c r="J22" s="179"/>
      <c r="K22" s="7"/>
      <c r="L22" s="6"/>
      <c r="M22" s="6"/>
      <c r="N22" s="6"/>
    </row>
    <row r="23" spans="1:14" x14ac:dyDescent="0.2">
      <c r="A23" s="89"/>
      <c r="B23" s="186">
        <v>42369</v>
      </c>
      <c r="C23" s="186"/>
      <c r="D23" s="186"/>
      <c r="E23" s="186"/>
      <c r="F23" s="186"/>
      <c r="G23" s="186"/>
      <c r="H23" s="186"/>
      <c r="I23" s="186"/>
      <c r="J23" s="186"/>
      <c r="K23" s="7"/>
      <c r="L23" s="6"/>
      <c r="M23" s="6"/>
      <c r="N23" s="6"/>
    </row>
    <row r="24" spans="1:14" x14ac:dyDescent="0.2">
      <c r="A24" s="89"/>
      <c r="B24" s="165"/>
      <c r="C24" s="165"/>
      <c r="D24" s="14"/>
      <c r="E24" s="14"/>
      <c r="F24" s="14"/>
      <c r="G24" s="14"/>
      <c r="H24" s="14"/>
      <c r="I24" s="14"/>
      <c r="J24" s="14"/>
      <c r="K24" s="7"/>
      <c r="L24" s="6"/>
      <c r="M24" s="6"/>
      <c r="N24" s="6"/>
    </row>
    <row r="25" spans="1:14" x14ac:dyDescent="0.2">
      <c r="A25" s="89"/>
      <c r="B25" s="163"/>
      <c r="C25" s="163"/>
      <c r="D25" s="17"/>
      <c r="E25" s="17"/>
      <c r="F25" s="35" t="s">
        <v>46</v>
      </c>
      <c r="G25" s="35"/>
      <c r="H25" s="35"/>
      <c r="I25" s="35"/>
      <c r="J25" s="17" t="s">
        <v>47</v>
      </c>
      <c r="K25" s="7"/>
      <c r="L25" s="6"/>
      <c r="M25" s="6"/>
      <c r="N25" s="6"/>
    </row>
    <row r="26" spans="1:14" x14ac:dyDescent="0.2">
      <c r="A26" s="89"/>
      <c r="B26" s="12" t="s">
        <v>23</v>
      </c>
      <c r="C26" s="12"/>
      <c r="D26" s="12" t="s">
        <v>56</v>
      </c>
      <c r="E26" s="12" t="s">
        <v>99</v>
      </c>
      <c r="F26" s="74"/>
      <c r="G26" s="12" t="s">
        <v>15</v>
      </c>
      <c r="H26" s="21"/>
      <c r="I26" s="12" t="s">
        <v>16</v>
      </c>
      <c r="J26" s="12" t="s">
        <v>48</v>
      </c>
      <c r="K26" s="7"/>
      <c r="L26" s="6"/>
      <c r="M26" s="6"/>
      <c r="N26" s="6"/>
    </row>
    <row r="27" spans="1:14" x14ac:dyDescent="0.2">
      <c r="A27" s="89"/>
      <c r="B27" s="168" t="s">
        <v>4</v>
      </c>
      <c r="C27" s="168"/>
      <c r="D27" s="52">
        <v>36000</v>
      </c>
      <c r="E27" s="52">
        <v>18000</v>
      </c>
      <c r="F27" s="42"/>
      <c r="G27" s="79"/>
      <c r="H27" s="42"/>
      <c r="I27" s="158"/>
      <c r="J27" s="207">
        <f>D27+E27+G27-I27</f>
        <v>54000</v>
      </c>
      <c r="K27" s="30" t="str">
        <f>IF(J27="","",IF(J27=54000,"Correct!","Try again!"))</f>
        <v>Correct!</v>
      </c>
      <c r="L27" s="6"/>
    </row>
    <row r="28" spans="1:14" x14ac:dyDescent="0.2">
      <c r="A28" s="89"/>
      <c r="B28" s="164" t="s">
        <v>5</v>
      </c>
      <c r="C28" s="164"/>
      <c r="D28" s="90">
        <v>116000</v>
      </c>
      <c r="E28" s="55">
        <v>52000</v>
      </c>
      <c r="F28" s="41"/>
      <c r="G28" s="80"/>
      <c r="H28" s="41"/>
      <c r="I28" s="157"/>
      <c r="J28" s="203">
        <f>D28+E28+G28-I28</f>
        <v>168000</v>
      </c>
      <c r="K28" s="30" t="str">
        <f>IF(J28="","",IF(J28=168000,"Correct!","Try again!"))</f>
        <v>Correct!</v>
      </c>
      <c r="L28" s="6"/>
    </row>
    <row r="29" spans="1:14" x14ac:dyDescent="0.2">
      <c r="A29" s="89"/>
      <c r="B29" s="164" t="s">
        <v>6</v>
      </c>
      <c r="C29" s="164"/>
      <c r="D29" s="90">
        <v>140000</v>
      </c>
      <c r="E29" s="55">
        <v>90000</v>
      </c>
      <c r="F29" s="41"/>
      <c r="G29" s="80"/>
      <c r="H29" s="41"/>
      <c r="I29" s="157"/>
      <c r="J29" s="203">
        <f>D29+E29+G29-I29</f>
        <v>230000</v>
      </c>
      <c r="K29" s="30" t="str">
        <f>IF(J29="","",IF(J29=230000,"Correct!","Try again!"))</f>
        <v>Correct!</v>
      </c>
      <c r="L29" s="6"/>
    </row>
    <row r="30" spans="1:14" x14ac:dyDescent="0.2">
      <c r="A30" s="89"/>
      <c r="B30" s="164" t="s">
        <v>94</v>
      </c>
      <c r="C30" s="164"/>
      <c r="D30" s="55">
        <v>495000</v>
      </c>
      <c r="E30" s="55">
        <v>0</v>
      </c>
      <c r="F30" s="41"/>
      <c r="G30" s="80"/>
      <c r="H30" s="41" t="s">
        <v>50</v>
      </c>
      <c r="I30" s="157">
        <f>G9</f>
        <v>265000</v>
      </c>
      <c r="J30" s="203">
        <f>D30+E30+G30-I30+G31-I31</f>
        <v>0</v>
      </c>
      <c r="K30" s="30" t="str">
        <f>IF(J30="","",IF(J30=0,"Correct!","Try again!"))</f>
        <v>Correct!</v>
      </c>
      <c r="L30" s="6"/>
    </row>
    <row r="31" spans="1:14" x14ac:dyDescent="0.2">
      <c r="A31" s="89"/>
      <c r="B31" s="164"/>
      <c r="C31" s="164"/>
      <c r="D31" s="55"/>
      <c r="E31" s="55"/>
      <c r="F31" s="41"/>
      <c r="G31" s="80"/>
      <c r="H31" s="41" t="s">
        <v>49</v>
      </c>
      <c r="I31" s="157">
        <f>G10</f>
        <v>230000</v>
      </c>
      <c r="J31" s="203"/>
      <c r="K31" s="4"/>
      <c r="L31" s="6"/>
    </row>
    <row r="32" spans="1:14" x14ac:dyDescent="0.2">
      <c r="A32" s="89"/>
      <c r="B32" s="164" t="s">
        <v>60</v>
      </c>
      <c r="C32" s="164"/>
      <c r="D32" s="90">
        <v>210000</v>
      </c>
      <c r="E32" s="90">
        <v>20000</v>
      </c>
      <c r="F32" s="46" t="s">
        <v>49</v>
      </c>
      <c r="G32" s="81">
        <f>E13</f>
        <v>50000</v>
      </c>
      <c r="H32" s="47"/>
      <c r="I32" s="159"/>
      <c r="J32" s="203">
        <f t="shared" ref="J32:J37" si="0">D32+E32+G32-I32</f>
        <v>280000</v>
      </c>
      <c r="K32" s="30" t="str">
        <f>IF(J32="","",IF(J32=280000,"Correct!","Try again!"))</f>
        <v>Correct!</v>
      </c>
      <c r="L32" s="6"/>
    </row>
    <row r="33" spans="1:12" x14ac:dyDescent="0.2">
      <c r="A33" s="89"/>
      <c r="B33" s="164" t="s">
        <v>8</v>
      </c>
      <c r="C33" s="164"/>
      <c r="D33" s="55">
        <v>595000</v>
      </c>
      <c r="E33" s="55">
        <v>130000</v>
      </c>
      <c r="F33" s="41"/>
      <c r="G33" s="80"/>
      <c r="H33" s="41"/>
      <c r="I33" s="157"/>
      <c r="J33" s="203">
        <f t="shared" si="0"/>
        <v>725000</v>
      </c>
      <c r="K33" s="30" t="str">
        <f>IF(J33="","",IF(J33=725000,"Correct!","Try again!"))</f>
        <v>Correct!</v>
      </c>
      <c r="L33" s="6"/>
    </row>
    <row r="34" spans="1:12" x14ac:dyDescent="0.2">
      <c r="A34" s="89"/>
      <c r="B34" s="164" t="s">
        <v>9</v>
      </c>
      <c r="C34" s="164"/>
      <c r="D34" s="90">
        <v>308000</v>
      </c>
      <c r="E34" s="90">
        <v>40000</v>
      </c>
      <c r="F34" s="46"/>
      <c r="G34" s="81"/>
      <c r="H34" s="47" t="s">
        <v>49</v>
      </c>
      <c r="I34" s="159">
        <f>-E14</f>
        <v>10000</v>
      </c>
      <c r="J34" s="203">
        <f t="shared" si="0"/>
        <v>338000</v>
      </c>
      <c r="K34" s="30" t="str">
        <f>IF(J34="","",IF(J34=338000,"Correct!","Try again!"))</f>
        <v>Correct!</v>
      </c>
      <c r="L34" s="6"/>
    </row>
    <row r="35" spans="1:12" x14ac:dyDescent="0.2">
      <c r="A35" s="89"/>
      <c r="B35" s="164" t="s">
        <v>61</v>
      </c>
      <c r="C35" s="164"/>
      <c r="D35" s="90">
        <v>0</v>
      </c>
      <c r="E35" s="90">
        <v>0</v>
      </c>
      <c r="F35" s="41" t="s">
        <v>49</v>
      </c>
      <c r="G35" s="80">
        <f>E15</f>
        <v>100000</v>
      </c>
      <c r="H35" s="41"/>
      <c r="I35" s="157"/>
      <c r="J35" s="203">
        <f t="shared" si="0"/>
        <v>100000</v>
      </c>
      <c r="K35" s="30" t="str">
        <f>IF(J35="","",IF(J35=100000,"Correct!","Try again!"))</f>
        <v>Correct!</v>
      </c>
      <c r="L35" s="6"/>
    </row>
    <row r="36" spans="1:12" x14ac:dyDescent="0.2">
      <c r="A36" s="89"/>
      <c r="B36" s="164" t="s">
        <v>173</v>
      </c>
      <c r="C36" s="164"/>
      <c r="D36" s="90"/>
      <c r="E36" s="90"/>
      <c r="F36" s="46" t="s">
        <v>49</v>
      </c>
      <c r="G36" s="82">
        <f>E16</f>
        <v>40000</v>
      </c>
      <c r="H36" s="49"/>
      <c r="I36" s="157"/>
      <c r="J36" s="203">
        <f t="shared" si="0"/>
        <v>40000</v>
      </c>
      <c r="K36" s="30" t="str">
        <f>IF(J36="","",IF(J36=40000,"Correct!","Try again!"))</f>
        <v>Correct!</v>
      </c>
      <c r="L36" s="6"/>
    </row>
    <row r="37" spans="1:12" x14ac:dyDescent="0.2">
      <c r="A37" s="89"/>
      <c r="B37" s="164" t="s">
        <v>22</v>
      </c>
      <c r="C37" s="164"/>
      <c r="D37" s="90">
        <v>0</v>
      </c>
      <c r="E37" s="90">
        <v>0</v>
      </c>
      <c r="F37" s="46" t="s">
        <v>49</v>
      </c>
      <c r="G37" s="83">
        <f>G18</f>
        <v>55000</v>
      </c>
      <c r="H37" s="48"/>
      <c r="I37" s="211"/>
      <c r="J37" s="204">
        <f t="shared" si="0"/>
        <v>55000</v>
      </c>
      <c r="K37" s="30" t="str">
        <f>IF(J37="","",IF(J37=55000,"Correct!","Try again!"))</f>
        <v>Correct!</v>
      </c>
      <c r="L37" s="6"/>
    </row>
    <row r="38" spans="1:12" ht="13.5" thickBot="1" x14ac:dyDescent="0.25">
      <c r="A38" s="89"/>
      <c r="B38" s="164" t="s">
        <v>65</v>
      </c>
      <c r="C38" s="164"/>
      <c r="D38" s="93">
        <f>SUM(D27:D37)</f>
        <v>1900000</v>
      </c>
      <c r="E38" s="93">
        <f>SUM(E27:E37)</f>
        <v>350000</v>
      </c>
      <c r="F38" s="7"/>
      <c r="G38" s="91"/>
      <c r="H38" s="7"/>
      <c r="I38" s="91"/>
      <c r="J38" s="206">
        <f>SUM(J27:J37)</f>
        <v>1990000</v>
      </c>
      <c r="K38" s="30" t="str">
        <f>IF(J38="","",IF(J38=1990000,"Correct!","Try again!"))</f>
        <v>Correct!</v>
      </c>
      <c r="L38" s="6"/>
    </row>
    <row r="39" spans="1:12" ht="13.5" thickTop="1" x14ac:dyDescent="0.2">
      <c r="A39" s="89"/>
      <c r="B39" s="164"/>
      <c r="C39" s="164"/>
      <c r="D39" s="91"/>
      <c r="E39" s="91"/>
      <c r="F39" s="7"/>
      <c r="G39" s="91"/>
      <c r="H39" s="7"/>
      <c r="I39" s="91"/>
      <c r="J39" s="95"/>
      <c r="K39" s="4"/>
      <c r="L39" s="6"/>
    </row>
    <row r="40" spans="1:12" x14ac:dyDescent="0.2">
      <c r="A40" s="89"/>
      <c r="B40" s="164" t="s">
        <v>10</v>
      </c>
      <c r="C40" s="164"/>
      <c r="D40" s="53">
        <v>-88000</v>
      </c>
      <c r="E40" s="53">
        <v>-25000</v>
      </c>
      <c r="F40" s="46"/>
      <c r="G40" s="81"/>
      <c r="H40" s="47"/>
      <c r="I40" s="159"/>
      <c r="J40" s="207">
        <f>D40+E40+G40-I40</f>
        <v>-113000</v>
      </c>
      <c r="K40" s="30" t="str">
        <f>IF(J40="","",IF(J40=-113000,"Correct!","Try again!"))</f>
        <v>Correct!</v>
      </c>
    </row>
    <row r="41" spans="1:12" x14ac:dyDescent="0.2">
      <c r="A41" s="89"/>
      <c r="B41" s="164" t="s">
        <v>63</v>
      </c>
      <c r="C41" s="164"/>
      <c r="D41" s="55">
        <v>-510000</v>
      </c>
      <c r="E41" s="55">
        <v>-60000</v>
      </c>
      <c r="F41" s="41"/>
      <c r="G41" s="80"/>
      <c r="H41" s="41" t="s">
        <v>49</v>
      </c>
      <c r="I41" s="157">
        <v>5000</v>
      </c>
      <c r="J41" s="203">
        <f>D41+E41+G41-I41</f>
        <v>-575000</v>
      </c>
      <c r="K41" s="30" t="str">
        <f>IF(J41="","",IF(J41=-575000,"Correct!","Try again!"))</f>
        <v>Correct!</v>
      </c>
    </row>
    <row r="42" spans="1:12" x14ac:dyDescent="0.2">
      <c r="A42" s="89"/>
      <c r="B42" s="164" t="s">
        <v>44</v>
      </c>
      <c r="C42" s="164"/>
      <c r="D42" s="55">
        <v>-380000</v>
      </c>
      <c r="E42" s="55">
        <v>-100000</v>
      </c>
      <c r="F42" s="46" t="s">
        <v>50</v>
      </c>
      <c r="G42" s="81">
        <f>-E42</f>
        <v>100000</v>
      </c>
      <c r="H42" s="47"/>
      <c r="I42" s="159"/>
      <c r="J42" s="203">
        <f>D42+E42+G42-I42</f>
        <v>-380000</v>
      </c>
      <c r="K42" s="30" t="str">
        <f>IF(J42="","",IF(J42=-380000,"Correct!","Try again!"))</f>
        <v>Correct!</v>
      </c>
    </row>
    <row r="43" spans="1:12" x14ac:dyDescent="0.2">
      <c r="A43" s="89"/>
      <c r="B43" s="164" t="s">
        <v>26</v>
      </c>
      <c r="C43" s="164"/>
      <c r="D43" s="55">
        <v>-170000</v>
      </c>
      <c r="E43" s="55">
        <v>-25000</v>
      </c>
      <c r="F43" s="41" t="s">
        <v>50</v>
      </c>
      <c r="G43" s="80">
        <f>-E43</f>
        <v>25000</v>
      </c>
      <c r="H43" s="41"/>
      <c r="I43" s="157"/>
      <c r="J43" s="203">
        <f>D43+E43+G43-I43</f>
        <v>-170000</v>
      </c>
      <c r="K43" s="30" t="str">
        <f>IF(J43="","",IF(J43=-170000,"Correct!","Try again!"))</f>
        <v>Correct!</v>
      </c>
    </row>
    <row r="44" spans="1:12" x14ac:dyDescent="0.2">
      <c r="A44" s="89"/>
      <c r="B44" s="164" t="s">
        <v>53</v>
      </c>
      <c r="C44" s="164"/>
      <c r="D44" s="92">
        <v>-752000</v>
      </c>
      <c r="E44" s="92">
        <v>-140000</v>
      </c>
      <c r="F44" s="46" t="s">
        <v>50</v>
      </c>
      <c r="G44" s="105">
        <f>-E44</f>
        <v>140000</v>
      </c>
      <c r="H44" s="48"/>
      <c r="I44" s="212"/>
      <c r="J44" s="204">
        <f>D44+E44+G44-I44</f>
        <v>-752000</v>
      </c>
      <c r="K44" s="30" t="str">
        <f>IF(J44="","",IF(J44=-752000,"Correct!","Try again!"))</f>
        <v>Correct!</v>
      </c>
    </row>
    <row r="45" spans="1:12" ht="13.5" thickBot="1" x14ac:dyDescent="0.25">
      <c r="A45" s="89"/>
      <c r="B45" s="164" t="s">
        <v>66</v>
      </c>
      <c r="C45" s="164"/>
      <c r="D45" s="94">
        <f>SUM(D40:D44)</f>
        <v>-1900000</v>
      </c>
      <c r="E45" s="94">
        <f>SUM(E40:E44)</f>
        <v>-350000</v>
      </c>
      <c r="F45" s="7"/>
      <c r="G45" s="102">
        <f>SUM(G27:G44)</f>
        <v>510000</v>
      </c>
      <c r="H45" s="7"/>
      <c r="I45" s="213">
        <f>SUM(I27:I44)</f>
        <v>510000</v>
      </c>
      <c r="J45" s="206">
        <f>SUM(J40:J44)</f>
        <v>-1990000</v>
      </c>
      <c r="K45" s="30" t="str">
        <f>IF(J45="","",IF(J45=-1990000,"Correct!","Try again!"))</f>
        <v>Correct!</v>
      </c>
    </row>
    <row r="46" spans="1:12" ht="13.5" thickTop="1" x14ac:dyDescent="0.2">
      <c r="A46" s="89"/>
      <c r="B46" s="7"/>
      <c r="C46" s="7"/>
      <c r="D46" s="7"/>
      <c r="E46" s="7"/>
      <c r="F46" s="7"/>
      <c r="G46" s="30" t="str">
        <f>IF(G45="","",IF(G45=510000,"Correct!","Try again!"))</f>
        <v>Correct!</v>
      </c>
      <c r="H46" s="7"/>
      <c r="I46" s="30" t="str">
        <f>IF(I45="","",IF(I45=510000,"Correct!","Try again!"))</f>
        <v>Correct!</v>
      </c>
      <c r="J46" s="4"/>
      <c r="K46" s="4"/>
    </row>
    <row r="47" spans="1:12" x14ac:dyDescent="0.2">
      <c r="B47" s="6"/>
      <c r="C47" s="6"/>
      <c r="D47" s="6"/>
      <c r="E47" s="6"/>
      <c r="F47" s="6"/>
      <c r="G47" s="6"/>
      <c r="H47" s="6"/>
      <c r="I47" s="6"/>
    </row>
    <row r="48" spans="1:12" x14ac:dyDescent="0.2">
      <c r="A48" s="89"/>
      <c r="B48" s="179" t="s">
        <v>100</v>
      </c>
      <c r="C48" s="179"/>
      <c r="D48" s="179"/>
      <c r="E48" s="179"/>
      <c r="F48" s="7"/>
      <c r="G48" s="7"/>
      <c r="H48" s="6"/>
      <c r="I48" s="6"/>
    </row>
    <row r="49" spans="1:13" x14ac:dyDescent="0.2">
      <c r="A49" s="89"/>
      <c r="B49" s="179" t="s">
        <v>73</v>
      </c>
      <c r="C49" s="179"/>
      <c r="D49" s="179"/>
      <c r="E49" s="179"/>
      <c r="F49" s="7"/>
      <c r="G49" s="7"/>
      <c r="H49" s="6"/>
      <c r="I49" s="6"/>
    </row>
    <row r="50" spans="1:13" x14ac:dyDescent="0.2">
      <c r="A50" s="89"/>
      <c r="B50" s="186">
        <v>42369</v>
      </c>
      <c r="C50" s="186"/>
      <c r="D50" s="186"/>
      <c r="E50" s="186"/>
      <c r="F50" s="7"/>
      <c r="G50" s="7"/>
      <c r="H50" s="6"/>
      <c r="I50" s="6"/>
    </row>
    <row r="51" spans="1:13" x14ac:dyDescent="0.2">
      <c r="A51" s="89"/>
      <c r="B51" s="164"/>
      <c r="C51" s="164"/>
      <c r="D51" s="164"/>
      <c r="E51" s="14"/>
      <c r="F51" s="7"/>
      <c r="G51" s="7"/>
      <c r="H51" s="6"/>
      <c r="I51" s="6"/>
    </row>
    <row r="52" spans="1:13" x14ac:dyDescent="0.2">
      <c r="A52" s="89"/>
      <c r="B52" s="179" t="s">
        <v>126</v>
      </c>
      <c r="C52" s="179"/>
      <c r="D52" s="179"/>
      <c r="E52" s="179"/>
      <c r="F52" s="7"/>
      <c r="G52" s="7"/>
      <c r="H52" s="6"/>
      <c r="I52" s="6"/>
    </row>
    <row r="53" spans="1:13" x14ac:dyDescent="0.2">
      <c r="A53" s="89"/>
      <c r="B53" s="164" t="s">
        <v>4</v>
      </c>
      <c r="C53" s="164"/>
      <c r="D53" s="164"/>
      <c r="E53" s="85">
        <f>J27</f>
        <v>54000</v>
      </c>
      <c r="F53" s="7"/>
      <c r="G53" s="7"/>
      <c r="H53" s="6"/>
      <c r="I53" s="6"/>
    </row>
    <row r="54" spans="1:13" x14ac:dyDescent="0.2">
      <c r="A54" s="89"/>
      <c r="B54" s="164" t="s">
        <v>5</v>
      </c>
      <c r="C54" s="164"/>
      <c r="D54" s="164"/>
      <c r="E54" s="78">
        <f>J28</f>
        <v>168000</v>
      </c>
      <c r="F54" s="7"/>
      <c r="G54" s="7"/>
      <c r="H54" s="6"/>
      <c r="I54" s="6"/>
      <c r="J54" s="6"/>
      <c r="K54" s="6"/>
    </row>
    <row r="55" spans="1:13" x14ac:dyDescent="0.2">
      <c r="A55" s="89"/>
      <c r="B55" s="164" t="s">
        <v>6</v>
      </c>
      <c r="C55" s="164"/>
      <c r="D55" s="164"/>
      <c r="E55" s="78">
        <f>J29</f>
        <v>230000</v>
      </c>
      <c r="F55" s="7"/>
      <c r="G55" s="7"/>
      <c r="H55" s="6"/>
      <c r="I55" s="6"/>
      <c r="J55" s="6"/>
      <c r="K55" s="6"/>
    </row>
    <row r="56" spans="1:13" x14ac:dyDescent="0.2">
      <c r="A56" s="89"/>
      <c r="B56" s="164" t="s">
        <v>60</v>
      </c>
      <c r="C56" s="164"/>
      <c r="D56" s="164"/>
      <c r="E56" s="78">
        <f>J32</f>
        <v>280000</v>
      </c>
      <c r="F56" s="7"/>
      <c r="G56" s="7"/>
      <c r="H56" s="6"/>
      <c r="I56" s="6"/>
      <c r="J56" s="6"/>
      <c r="K56" s="6"/>
    </row>
    <row r="57" spans="1:13" x14ac:dyDescent="0.2">
      <c r="A57" s="89"/>
      <c r="B57" s="164" t="s">
        <v>8</v>
      </c>
      <c r="C57" s="164"/>
      <c r="D57" s="164"/>
      <c r="E57" s="78">
        <f>J33</f>
        <v>725000</v>
      </c>
      <c r="F57" s="7"/>
      <c r="G57" s="7"/>
      <c r="H57" s="6"/>
      <c r="I57" s="6"/>
      <c r="J57" s="6"/>
      <c r="K57" s="6"/>
    </row>
    <row r="58" spans="1:13" x14ac:dyDescent="0.2">
      <c r="A58" s="89"/>
      <c r="B58" s="164" t="s">
        <v>9</v>
      </c>
      <c r="C58" s="164"/>
      <c r="D58" s="164"/>
      <c r="E58" s="78">
        <f>J34</f>
        <v>338000</v>
      </c>
      <c r="F58" s="7"/>
      <c r="G58" s="7"/>
      <c r="H58" s="6"/>
      <c r="I58" s="6"/>
      <c r="J58" s="6"/>
      <c r="K58" s="6"/>
      <c r="L58" s="6"/>
    </row>
    <row r="59" spans="1:13" x14ac:dyDescent="0.2">
      <c r="A59" s="89"/>
      <c r="B59" s="164" t="s">
        <v>61</v>
      </c>
      <c r="C59" s="164"/>
      <c r="D59" s="164"/>
      <c r="E59" s="78">
        <f>J35</f>
        <v>100000</v>
      </c>
      <c r="F59" s="7"/>
      <c r="G59" s="7"/>
      <c r="H59" s="6"/>
      <c r="I59" s="6"/>
      <c r="J59" s="6"/>
      <c r="K59" s="6"/>
      <c r="L59" s="6"/>
      <c r="M59" s="6"/>
    </row>
    <row r="60" spans="1:13" x14ac:dyDescent="0.2">
      <c r="A60" s="89"/>
      <c r="B60" s="164" t="s">
        <v>155</v>
      </c>
      <c r="C60" s="164"/>
      <c r="D60" s="164"/>
      <c r="E60" s="78">
        <f>J36</f>
        <v>40000</v>
      </c>
      <c r="F60" s="7"/>
      <c r="G60" s="7"/>
      <c r="H60" s="6"/>
      <c r="I60" s="6"/>
      <c r="J60" s="6"/>
      <c r="K60" s="6"/>
      <c r="L60" s="6"/>
      <c r="M60" s="6"/>
    </row>
    <row r="61" spans="1:13" x14ac:dyDescent="0.2">
      <c r="A61" s="89"/>
      <c r="B61" s="164" t="s">
        <v>22</v>
      </c>
      <c r="C61" s="164"/>
      <c r="D61" s="164"/>
      <c r="E61" s="78">
        <f>G18</f>
        <v>55000</v>
      </c>
      <c r="F61" s="7"/>
      <c r="G61" s="7"/>
      <c r="H61" s="6"/>
      <c r="I61" s="6"/>
      <c r="J61" s="6"/>
      <c r="K61" s="6"/>
      <c r="L61" s="6"/>
      <c r="M61" s="6"/>
    </row>
    <row r="62" spans="1:13" ht="13.5" thickBot="1" x14ac:dyDescent="0.25">
      <c r="A62" s="89"/>
      <c r="B62" s="164" t="s">
        <v>65</v>
      </c>
      <c r="C62" s="164"/>
      <c r="D62" s="164"/>
      <c r="E62" s="68">
        <f>SUM(E53:E61)</f>
        <v>1990000</v>
      </c>
      <c r="F62" s="197" t="str">
        <f>IF(E62="","",IF(E62=1990000,"Correct!","Try again!"))</f>
        <v>Correct!</v>
      </c>
      <c r="G62" s="197"/>
      <c r="H62" s="6"/>
      <c r="I62" s="6"/>
      <c r="J62" s="6"/>
      <c r="K62" s="6"/>
      <c r="L62" s="6"/>
      <c r="M62" s="6"/>
    </row>
    <row r="63" spans="1:13" ht="13.5" thickTop="1" x14ac:dyDescent="0.2">
      <c r="A63" s="89"/>
      <c r="B63" s="164"/>
      <c r="C63" s="164"/>
      <c r="D63" s="164"/>
      <c r="E63" s="10"/>
      <c r="F63" s="7"/>
      <c r="G63" s="7"/>
      <c r="H63" s="6"/>
      <c r="I63" s="6"/>
      <c r="J63" s="6"/>
      <c r="K63" s="6"/>
      <c r="L63" s="6"/>
      <c r="M63" s="6"/>
    </row>
    <row r="64" spans="1:13" x14ac:dyDescent="0.2">
      <c r="A64" s="89"/>
      <c r="B64" s="179" t="s">
        <v>127</v>
      </c>
      <c r="C64" s="179"/>
      <c r="D64" s="179"/>
      <c r="E64" s="179"/>
      <c r="F64" s="7"/>
      <c r="G64" s="7"/>
      <c r="H64" s="6"/>
      <c r="I64" s="6"/>
      <c r="J64" s="6"/>
      <c r="K64" s="6"/>
      <c r="L64" s="6"/>
      <c r="M64" s="6"/>
    </row>
    <row r="65" spans="1:13" x14ac:dyDescent="0.2">
      <c r="A65" s="89"/>
      <c r="B65" s="164" t="s">
        <v>10</v>
      </c>
      <c r="C65" s="164"/>
      <c r="D65" s="164"/>
      <c r="E65" s="85">
        <f>-J40</f>
        <v>113000</v>
      </c>
      <c r="F65" s="7"/>
      <c r="G65" s="7"/>
      <c r="H65" s="6"/>
      <c r="I65" s="6"/>
      <c r="J65" s="6"/>
      <c r="K65" s="6"/>
      <c r="L65" s="6"/>
      <c r="M65" s="6"/>
    </row>
    <row r="66" spans="1:13" x14ac:dyDescent="0.2">
      <c r="A66" s="89"/>
      <c r="B66" s="164" t="s">
        <v>63</v>
      </c>
      <c r="C66" s="164"/>
      <c r="D66" s="164"/>
      <c r="E66" s="78">
        <f>-J41</f>
        <v>575000</v>
      </c>
      <c r="F66" s="7"/>
      <c r="G66" s="7"/>
      <c r="H66" s="6"/>
      <c r="I66" s="6"/>
      <c r="J66" s="6"/>
      <c r="K66" s="6"/>
      <c r="L66" s="6"/>
      <c r="M66" s="6"/>
    </row>
    <row r="67" spans="1:13" x14ac:dyDescent="0.2">
      <c r="A67" s="89"/>
      <c r="B67" s="164" t="s">
        <v>44</v>
      </c>
      <c r="C67" s="164"/>
      <c r="D67" s="164"/>
      <c r="E67" s="78">
        <f>-J42</f>
        <v>380000</v>
      </c>
      <c r="F67" s="7"/>
      <c r="G67" s="7"/>
      <c r="H67" s="6"/>
      <c r="I67" s="6"/>
      <c r="J67" s="6"/>
      <c r="K67" s="6"/>
      <c r="L67" s="6"/>
      <c r="M67" s="6"/>
    </row>
    <row r="68" spans="1:13" x14ac:dyDescent="0.2">
      <c r="A68" s="89"/>
      <c r="B68" s="164" t="s">
        <v>26</v>
      </c>
      <c r="C68" s="164"/>
      <c r="D68" s="164"/>
      <c r="E68" s="78">
        <f>-J43</f>
        <v>170000</v>
      </c>
      <c r="F68" s="7"/>
      <c r="G68" s="7"/>
      <c r="H68" s="6"/>
      <c r="I68" s="6"/>
      <c r="J68" s="6"/>
      <c r="K68" s="6"/>
      <c r="L68" s="6"/>
      <c r="M68" s="6"/>
    </row>
    <row r="69" spans="1:13" x14ac:dyDescent="0.2">
      <c r="A69" s="89"/>
      <c r="B69" s="164" t="s">
        <v>53</v>
      </c>
      <c r="C69" s="164"/>
      <c r="D69" s="164"/>
      <c r="E69" s="77">
        <f>-J44</f>
        <v>752000</v>
      </c>
      <c r="F69" s="7"/>
      <c r="G69" s="7"/>
      <c r="H69" s="6"/>
      <c r="I69" s="6"/>
      <c r="J69" s="6"/>
      <c r="K69" s="6"/>
      <c r="L69" s="6"/>
      <c r="M69" s="6"/>
    </row>
    <row r="70" spans="1:13" ht="13.5" thickBot="1" x14ac:dyDescent="0.25">
      <c r="A70" s="89"/>
      <c r="B70" s="164" t="s">
        <v>66</v>
      </c>
      <c r="C70" s="164"/>
      <c r="D70" s="164"/>
      <c r="E70" s="68">
        <f>SUM(E65:E69)</f>
        <v>1990000</v>
      </c>
      <c r="F70" s="197" t="str">
        <f>IF(E70="","",IF(E70=1990000,"Correct!","Try again!"))</f>
        <v>Correct!</v>
      </c>
      <c r="G70" s="197"/>
      <c r="H70" s="6"/>
      <c r="I70" s="6"/>
      <c r="J70" s="6"/>
      <c r="K70" s="6"/>
      <c r="L70" s="6"/>
      <c r="M70" s="6"/>
    </row>
    <row r="71" spans="1:13" ht="13.5" thickTop="1" x14ac:dyDescent="0.2">
      <c r="A71" s="89"/>
      <c r="B71" s="7"/>
      <c r="C71" s="7"/>
      <c r="D71" s="7"/>
      <c r="E71" s="7"/>
      <c r="F71" s="7"/>
      <c r="G71" s="7"/>
      <c r="H71" s="6"/>
      <c r="I71" s="6"/>
      <c r="J71" s="6"/>
      <c r="K71" s="6"/>
      <c r="L71" s="6"/>
      <c r="M71" s="6"/>
    </row>
    <row r="72" spans="1:13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2:13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2:13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2:13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2:13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2:13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2:13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2:13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2:13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2:13" x14ac:dyDescent="0.2">
      <c r="B89" s="6"/>
      <c r="C89" s="6"/>
      <c r="D89" s="6"/>
      <c r="E89" s="6"/>
      <c r="F89" s="6"/>
      <c r="I89" s="6"/>
      <c r="J89" s="6"/>
      <c r="K89" s="6"/>
      <c r="L89" s="6"/>
      <c r="M89" s="6"/>
    </row>
    <row r="90" spans="2:13" x14ac:dyDescent="0.2">
      <c r="B90" s="6"/>
      <c r="C90" s="6"/>
      <c r="I90" s="6"/>
      <c r="J90" s="6"/>
      <c r="K90" s="6"/>
      <c r="L90" s="6"/>
      <c r="M90" s="6"/>
    </row>
    <row r="91" spans="2:13" x14ac:dyDescent="0.2">
      <c r="B91" s="6"/>
      <c r="C91" s="6"/>
      <c r="I91" s="6"/>
      <c r="J91" s="6"/>
      <c r="K91" s="6"/>
      <c r="L91" s="6"/>
      <c r="M91" s="6"/>
    </row>
    <row r="92" spans="2:13" x14ac:dyDescent="0.2">
      <c r="B92" s="6"/>
      <c r="C92" s="6"/>
      <c r="I92" s="6"/>
      <c r="J92" s="6"/>
      <c r="K92" s="6"/>
      <c r="L92" s="6"/>
      <c r="M92" s="6"/>
    </row>
    <row r="93" spans="2:13" x14ac:dyDescent="0.2">
      <c r="B93" s="6"/>
      <c r="C93" s="6"/>
      <c r="L93" s="6"/>
      <c r="M93" s="6"/>
    </row>
    <row r="94" spans="2:13" x14ac:dyDescent="0.2">
      <c r="B94" s="6"/>
      <c r="C94" s="6"/>
      <c r="L94" s="6"/>
      <c r="M94" s="6"/>
    </row>
    <row r="95" spans="2:13" x14ac:dyDescent="0.2">
      <c r="B95" s="6"/>
      <c r="C95" s="6"/>
      <c r="L95" s="6"/>
      <c r="M95" s="6"/>
    </row>
    <row r="96" spans="2:13" x14ac:dyDescent="0.2">
      <c r="B96" s="6"/>
      <c r="C96" s="6"/>
      <c r="L96" s="6"/>
      <c r="M96" s="6"/>
    </row>
    <row r="97" spans="2:13" x14ac:dyDescent="0.2">
      <c r="B97" s="6"/>
      <c r="C97" s="6"/>
      <c r="L97" s="6"/>
      <c r="M97" s="6"/>
    </row>
    <row r="98" spans="2:13" x14ac:dyDescent="0.2">
      <c r="B98" s="6"/>
      <c r="C98" s="6"/>
    </row>
  </sheetData>
  <sheetProtection password="C690" sheet="1" objects="1" scenarios="1" selectLockedCells="1"/>
  <mergeCells count="65">
    <mergeCell ref="B34:C34"/>
    <mergeCell ref="B54:D54"/>
    <mergeCell ref="B53:D53"/>
    <mergeCell ref="B68:D68"/>
    <mergeCell ref="B67:D67"/>
    <mergeCell ref="B60:D60"/>
    <mergeCell ref="B59:D59"/>
    <mergeCell ref="B58:D58"/>
    <mergeCell ref="B57:D57"/>
    <mergeCell ref="B29:C29"/>
    <mergeCell ref="B56:D56"/>
    <mergeCell ref="B36:C36"/>
    <mergeCell ref="B28:C28"/>
    <mergeCell ref="B27:C27"/>
    <mergeCell ref="B70:D70"/>
    <mergeCell ref="B69:D69"/>
    <mergeCell ref="B66:D66"/>
    <mergeCell ref="B65:D65"/>
    <mergeCell ref="B63:D63"/>
    <mergeCell ref="B38:C38"/>
    <mergeCell ref="B37:C37"/>
    <mergeCell ref="B61:D61"/>
    <mergeCell ref="B23:J23"/>
    <mergeCell ref="B22:J22"/>
    <mergeCell ref="B21:J21"/>
    <mergeCell ref="B33:C33"/>
    <mergeCell ref="B32:C32"/>
    <mergeCell ref="B31:C31"/>
    <mergeCell ref="B30:C30"/>
    <mergeCell ref="B16:D16"/>
    <mergeCell ref="B15:D15"/>
    <mergeCell ref="B14:D14"/>
    <mergeCell ref="B13:D13"/>
    <mergeCell ref="B41:C41"/>
    <mergeCell ref="B49:E49"/>
    <mergeCell ref="B48:E48"/>
    <mergeCell ref="B35:C35"/>
    <mergeCell ref="B40:C40"/>
    <mergeCell ref="B39:C39"/>
    <mergeCell ref="F70:G70"/>
    <mergeCell ref="F62:G62"/>
    <mergeCell ref="B50:E50"/>
    <mergeCell ref="B52:E52"/>
    <mergeCell ref="B64:E64"/>
    <mergeCell ref="B45:C45"/>
    <mergeCell ref="B62:D62"/>
    <mergeCell ref="B55:D55"/>
    <mergeCell ref="C1:D1"/>
    <mergeCell ref="B6:E6"/>
    <mergeCell ref="B12:F12"/>
    <mergeCell ref="B11:F11"/>
    <mergeCell ref="B10:F10"/>
    <mergeCell ref="B9:F9"/>
    <mergeCell ref="B8:F8"/>
    <mergeCell ref="B7:F7"/>
    <mergeCell ref="B18:F18"/>
    <mergeCell ref="B25:C25"/>
    <mergeCell ref="B24:C24"/>
    <mergeCell ref="B51:D51"/>
    <mergeCell ref="C3:D3"/>
    <mergeCell ref="C2:D2"/>
    <mergeCell ref="B44:C44"/>
    <mergeCell ref="B43:C43"/>
    <mergeCell ref="B42:C42"/>
    <mergeCell ref="B17:D17"/>
  </mergeCells>
  <phoneticPr fontId="0" type="noConversion"/>
  <dataValidations disablePrompts="1" count="1">
    <dataValidation type="list" allowBlank="1" showInputMessage="1" showErrorMessage="1" sqref="H40:H44 F27:F37 H27:H37 F40:F44">
      <formula1>"[A], [S]"</formula1>
    </dataValidation>
  </dataValidations>
  <printOptions horizontalCentered="1"/>
  <pageMargins left="0.5" right="0.5" top="0.83" bottom="0.28999999999999998" header="0.5" footer="0.33"/>
  <pageSetup scale="85" orientation="portrait" horizontalDpi="300" verticalDpi="300" r:id="rId1"/>
  <headerFooter alignWithMargins="0"/>
  <rowBreaks count="2" manualBreakCount="2">
    <brk id="47" max="16383" man="1"/>
    <brk id="76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37"/>
  <sheetViews>
    <sheetView showGridLines="0" workbookViewId="0">
      <selection sqref="A1:C1"/>
    </sheetView>
  </sheetViews>
  <sheetFormatPr defaultRowHeight="12.75" x14ac:dyDescent="0.2"/>
  <cols>
    <col min="1" max="1" width="2.7109375" customWidth="1"/>
    <col min="2" max="6" width="12.7109375" customWidth="1"/>
    <col min="7" max="7" width="2.7109375" customWidth="1"/>
    <col min="8" max="21" width="12.7109375" customWidth="1"/>
  </cols>
  <sheetData>
    <row r="1" spans="1:8" x14ac:dyDescent="0.2">
      <c r="A1" s="195" t="s">
        <v>164</v>
      </c>
      <c r="B1" s="195"/>
      <c r="C1" s="195"/>
    </row>
    <row r="3" spans="1:8" x14ac:dyDescent="0.2">
      <c r="A3" s="89"/>
      <c r="B3" s="179" t="s">
        <v>111</v>
      </c>
      <c r="C3" s="179"/>
      <c r="D3" s="179"/>
      <c r="E3" s="179"/>
      <c r="F3" s="179"/>
      <c r="G3" s="4"/>
    </row>
    <row r="4" spans="1:8" x14ac:dyDescent="0.2">
      <c r="A4" s="89"/>
      <c r="B4" s="172"/>
      <c r="C4" s="172"/>
      <c r="D4" s="172"/>
      <c r="E4" s="4"/>
      <c r="F4" s="4"/>
      <c r="G4" s="4"/>
    </row>
    <row r="5" spans="1:8" x14ac:dyDescent="0.2">
      <c r="A5" s="89"/>
      <c r="B5" s="164" t="s">
        <v>67</v>
      </c>
      <c r="C5" s="164"/>
      <c r="D5" s="164"/>
      <c r="E5" s="164"/>
      <c r="F5" s="8"/>
      <c r="G5" s="4"/>
      <c r="H5" s="6"/>
    </row>
    <row r="6" spans="1:8" x14ac:dyDescent="0.2">
      <c r="A6" s="89"/>
      <c r="B6" s="164" t="s">
        <v>57</v>
      </c>
      <c r="C6" s="164"/>
      <c r="D6" s="164"/>
      <c r="E6" s="164"/>
      <c r="F6" s="8">
        <v>1</v>
      </c>
      <c r="G6" s="4"/>
      <c r="H6" s="6"/>
    </row>
    <row r="7" spans="1:8" x14ac:dyDescent="0.2">
      <c r="A7" s="89"/>
      <c r="B7" s="164" t="s">
        <v>58</v>
      </c>
      <c r="C7" s="164"/>
      <c r="D7" s="164"/>
      <c r="E7" s="164"/>
      <c r="F7" s="52">
        <v>495000</v>
      </c>
      <c r="G7" s="4"/>
      <c r="H7" s="6"/>
    </row>
    <row r="8" spans="1:8" x14ac:dyDescent="0.2">
      <c r="A8" s="89"/>
      <c r="B8" s="164"/>
      <c r="C8" s="164"/>
      <c r="D8" s="164"/>
      <c r="E8" s="96"/>
      <c r="F8" s="9"/>
      <c r="G8" s="4"/>
      <c r="H8" s="6"/>
    </row>
    <row r="9" spans="1:8" x14ac:dyDescent="0.2">
      <c r="A9" s="89"/>
      <c r="B9" s="164" t="s">
        <v>59</v>
      </c>
      <c r="C9" s="164"/>
      <c r="D9" s="164"/>
      <c r="E9" s="164"/>
      <c r="F9" s="4"/>
      <c r="G9" s="7"/>
      <c r="H9" s="6"/>
    </row>
    <row r="10" spans="1:8" x14ac:dyDescent="0.2">
      <c r="A10" s="89"/>
      <c r="B10" s="164"/>
      <c r="C10" s="164"/>
      <c r="D10" s="164"/>
      <c r="E10" s="17" t="s">
        <v>27</v>
      </c>
      <c r="F10" s="17" t="s">
        <v>64</v>
      </c>
      <c r="G10" s="7"/>
      <c r="H10" s="6"/>
    </row>
    <row r="11" spans="1:8" x14ac:dyDescent="0.2">
      <c r="A11" s="89"/>
      <c r="B11" s="164"/>
      <c r="C11" s="164"/>
      <c r="D11" s="164"/>
      <c r="E11" s="12" t="s">
        <v>93</v>
      </c>
      <c r="F11" s="12" t="s">
        <v>93</v>
      </c>
      <c r="G11" s="7"/>
      <c r="H11" s="6"/>
    </row>
    <row r="12" spans="1:8" x14ac:dyDescent="0.2">
      <c r="A12" s="89"/>
      <c r="B12" s="164" t="s">
        <v>60</v>
      </c>
      <c r="C12" s="164"/>
      <c r="D12" s="164"/>
      <c r="E12" s="52">
        <v>20000</v>
      </c>
      <c r="F12" s="52">
        <v>70000</v>
      </c>
      <c r="G12" s="7"/>
      <c r="H12" s="6"/>
    </row>
    <row r="13" spans="1:8" x14ac:dyDescent="0.2">
      <c r="A13" s="89"/>
      <c r="B13" s="164" t="s">
        <v>21</v>
      </c>
      <c r="C13" s="164"/>
      <c r="D13" s="164"/>
      <c r="E13" s="55">
        <v>40000</v>
      </c>
      <c r="F13" s="55">
        <v>30000</v>
      </c>
      <c r="G13" s="7"/>
      <c r="H13" s="6"/>
    </row>
    <row r="14" spans="1:8" x14ac:dyDescent="0.2">
      <c r="A14" s="89"/>
      <c r="B14" s="164" t="s">
        <v>61</v>
      </c>
      <c r="C14" s="164"/>
      <c r="D14" s="164"/>
      <c r="E14" s="55">
        <v>0</v>
      </c>
      <c r="F14" s="55">
        <v>100000</v>
      </c>
      <c r="G14" s="7"/>
      <c r="H14" s="6"/>
    </row>
    <row r="15" spans="1:8" x14ac:dyDescent="0.2">
      <c r="A15" s="89"/>
      <c r="B15" s="164" t="s">
        <v>62</v>
      </c>
      <c r="C15" s="164"/>
      <c r="D15" s="164"/>
      <c r="E15" s="55">
        <v>0</v>
      </c>
      <c r="F15" s="55">
        <v>40000</v>
      </c>
      <c r="G15" s="7"/>
      <c r="H15" s="6"/>
    </row>
    <row r="16" spans="1:8" x14ac:dyDescent="0.2">
      <c r="A16" s="89"/>
      <c r="B16" s="164" t="s">
        <v>63</v>
      </c>
      <c r="C16" s="164"/>
      <c r="D16" s="164"/>
      <c r="E16" s="55">
        <v>-60000</v>
      </c>
      <c r="F16" s="55">
        <v>-65000</v>
      </c>
      <c r="G16" s="7"/>
      <c r="H16" s="6"/>
    </row>
    <row r="17" spans="1:8" x14ac:dyDescent="0.2">
      <c r="A17" s="89"/>
      <c r="B17" s="164"/>
      <c r="C17" s="164"/>
      <c r="D17" s="164"/>
      <c r="E17" s="17"/>
      <c r="F17" s="17"/>
      <c r="G17" s="7"/>
      <c r="H17" s="6"/>
    </row>
    <row r="18" spans="1:8" x14ac:dyDescent="0.2">
      <c r="A18" s="89"/>
      <c r="B18" s="179" t="s">
        <v>124</v>
      </c>
      <c r="C18" s="179"/>
      <c r="D18" s="179"/>
      <c r="E18" s="179"/>
      <c r="F18" s="179"/>
      <c r="G18" s="7"/>
      <c r="H18" s="6"/>
    </row>
    <row r="19" spans="1:8" x14ac:dyDescent="0.2">
      <c r="A19" s="89"/>
      <c r="B19" s="166"/>
      <c r="C19" s="166"/>
      <c r="D19" s="166"/>
      <c r="E19" s="12" t="s">
        <v>56</v>
      </c>
      <c r="F19" s="12" t="s">
        <v>95</v>
      </c>
      <c r="G19" s="7"/>
      <c r="H19" s="6"/>
    </row>
    <row r="20" spans="1:8" x14ac:dyDescent="0.2">
      <c r="A20" s="89"/>
      <c r="B20" s="168" t="s">
        <v>4</v>
      </c>
      <c r="C20" s="168"/>
      <c r="D20" s="168"/>
      <c r="E20" s="52">
        <v>36000</v>
      </c>
      <c r="F20" s="52">
        <v>18000</v>
      </c>
      <c r="G20" s="7"/>
      <c r="H20" s="6"/>
    </row>
    <row r="21" spans="1:8" x14ac:dyDescent="0.2">
      <c r="A21" s="89"/>
      <c r="B21" s="164" t="s">
        <v>5</v>
      </c>
      <c r="C21" s="164"/>
      <c r="D21" s="164"/>
      <c r="E21" s="55">
        <v>116000</v>
      </c>
      <c r="F21" s="55">
        <v>52000</v>
      </c>
      <c r="G21" s="7"/>
      <c r="H21" s="6"/>
    </row>
    <row r="22" spans="1:8" x14ac:dyDescent="0.2">
      <c r="A22" s="89"/>
      <c r="B22" s="164" t="s">
        <v>6</v>
      </c>
      <c r="C22" s="164"/>
      <c r="D22" s="164"/>
      <c r="E22" s="55">
        <v>140000</v>
      </c>
      <c r="F22" s="55">
        <v>90000</v>
      </c>
      <c r="G22" s="7"/>
    </row>
    <row r="23" spans="1:8" x14ac:dyDescent="0.2">
      <c r="A23" s="89"/>
      <c r="B23" s="164" t="s">
        <v>94</v>
      </c>
      <c r="C23" s="164"/>
      <c r="D23" s="164"/>
      <c r="E23" s="55">
        <v>495000</v>
      </c>
      <c r="F23" s="55">
        <v>0</v>
      </c>
      <c r="G23" s="7"/>
    </row>
    <row r="24" spans="1:8" x14ac:dyDescent="0.2">
      <c r="A24" s="89"/>
      <c r="B24" s="164" t="s">
        <v>60</v>
      </c>
      <c r="C24" s="164"/>
      <c r="D24" s="164"/>
      <c r="E24" s="55">
        <v>210000</v>
      </c>
      <c r="F24" s="55">
        <v>20000</v>
      </c>
      <c r="G24" s="7"/>
    </row>
    <row r="25" spans="1:8" x14ac:dyDescent="0.2">
      <c r="A25" s="89"/>
      <c r="B25" s="164" t="s">
        <v>8</v>
      </c>
      <c r="C25" s="164"/>
      <c r="D25" s="164"/>
      <c r="E25" s="55">
        <v>595000</v>
      </c>
      <c r="F25" s="55">
        <v>130000</v>
      </c>
      <c r="G25" s="7"/>
    </row>
    <row r="26" spans="1:8" x14ac:dyDescent="0.2">
      <c r="A26" s="89"/>
      <c r="B26" s="164" t="s">
        <v>9</v>
      </c>
      <c r="C26" s="164"/>
      <c r="D26" s="164"/>
      <c r="E26" s="55">
        <v>308000</v>
      </c>
      <c r="F26" s="55">
        <v>40000</v>
      </c>
      <c r="G26" s="7"/>
    </row>
    <row r="27" spans="1:8" x14ac:dyDescent="0.2">
      <c r="A27" s="89"/>
      <c r="B27" s="164" t="s">
        <v>61</v>
      </c>
      <c r="C27" s="164"/>
      <c r="D27" s="164"/>
      <c r="E27" s="55">
        <v>0</v>
      </c>
      <c r="F27" s="55">
        <v>0</v>
      </c>
      <c r="G27" s="7"/>
    </row>
    <row r="28" spans="1:8" x14ac:dyDescent="0.2">
      <c r="A28" s="89"/>
      <c r="B28" s="164" t="s">
        <v>22</v>
      </c>
      <c r="C28" s="164"/>
      <c r="D28" s="164"/>
      <c r="E28" s="92">
        <v>0</v>
      </c>
      <c r="F28" s="55">
        <v>0</v>
      </c>
      <c r="G28" s="7"/>
    </row>
    <row r="29" spans="1:8" ht="13.5" thickBot="1" x14ac:dyDescent="0.25">
      <c r="A29" s="89"/>
      <c r="B29" s="164" t="s">
        <v>120</v>
      </c>
      <c r="C29" s="164"/>
      <c r="D29" s="164"/>
      <c r="E29" s="160">
        <f>SUM(E20:E28)</f>
        <v>1900000</v>
      </c>
      <c r="F29" s="160">
        <f>SUM(F20:F28)</f>
        <v>350000</v>
      </c>
      <c r="G29" s="7"/>
    </row>
    <row r="30" spans="1:8" ht="13.5" thickTop="1" x14ac:dyDescent="0.2">
      <c r="A30" s="89"/>
      <c r="B30" s="164"/>
      <c r="C30" s="164"/>
      <c r="D30" s="164"/>
      <c r="E30" s="55"/>
      <c r="F30" s="55"/>
      <c r="G30" s="7"/>
    </row>
    <row r="31" spans="1:8" x14ac:dyDescent="0.2">
      <c r="A31" s="89"/>
      <c r="B31" s="164" t="s">
        <v>10</v>
      </c>
      <c r="C31" s="164"/>
      <c r="D31" s="164"/>
      <c r="E31" s="52">
        <v>-88000</v>
      </c>
      <c r="F31" s="52">
        <v>-25000</v>
      </c>
      <c r="G31" s="7"/>
    </row>
    <row r="32" spans="1:8" x14ac:dyDescent="0.2">
      <c r="A32" s="89"/>
      <c r="B32" s="164" t="s">
        <v>63</v>
      </c>
      <c r="C32" s="164"/>
      <c r="D32" s="164"/>
      <c r="E32" s="55">
        <v>-510000</v>
      </c>
      <c r="F32" s="55">
        <v>-60000</v>
      </c>
      <c r="G32" s="7"/>
    </row>
    <row r="33" spans="1:7" x14ac:dyDescent="0.2">
      <c r="A33" s="89"/>
      <c r="B33" s="164" t="s">
        <v>44</v>
      </c>
      <c r="C33" s="164"/>
      <c r="D33" s="164"/>
      <c r="E33" s="55">
        <v>-380000</v>
      </c>
      <c r="F33" s="55">
        <v>-100000</v>
      </c>
      <c r="G33" s="7"/>
    </row>
    <row r="34" spans="1:7" x14ac:dyDescent="0.2">
      <c r="A34" s="89"/>
      <c r="B34" s="164" t="s">
        <v>26</v>
      </c>
      <c r="C34" s="164"/>
      <c r="D34" s="164"/>
      <c r="E34" s="55">
        <v>-170000</v>
      </c>
      <c r="F34" s="55">
        <v>-25000</v>
      </c>
      <c r="G34" s="7"/>
    </row>
    <row r="35" spans="1:7" x14ac:dyDescent="0.2">
      <c r="A35" s="89"/>
      <c r="B35" s="164" t="s">
        <v>53</v>
      </c>
      <c r="C35" s="164"/>
      <c r="D35" s="164"/>
      <c r="E35" s="55">
        <v>-752000</v>
      </c>
      <c r="F35" s="55">
        <v>-140000</v>
      </c>
      <c r="G35" s="7"/>
    </row>
    <row r="36" spans="1:7" ht="13.5" thickBot="1" x14ac:dyDescent="0.25">
      <c r="A36" s="89"/>
      <c r="B36" s="164" t="s">
        <v>125</v>
      </c>
      <c r="C36" s="164"/>
      <c r="D36" s="164"/>
      <c r="E36" s="160">
        <f>SUM(E31:E35)</f>
        <v>-1900000</v>
      </c>
      <c r="F36" s="160">
        <f>SUM(F31:F35)</f>
        <v>-350000</v>
      </c>
      <c r="G36" s="7"/>
    </row>
    <row r="37" spans="1:7" ht="13.5" thickTop="1" x14ac:dyDescent="0.2">
      <c r="A37" s="89"/>
      <c r="B37" s="4"/>
      <c r="C37" s="4"/>
      <c r="D37" s="4"/>
      <c r="E37" s="7"/>
      <c r="F37" s="4"/>
      <c r="G37" s="4"/>
    </row>
  </sheetData>
  <sheetProtection password="C690" sheet="1" objects="1" scenarios="1" selectLockedCells="1" selectUnlockedCells="1"/>
  <mergeCells count="35">
    <mergeCell ref="B23:D23"/>
    <mergeCell ref="B22:D22"/>
    <mergeCell ref="B12:D12"/>
    <mergeCell ref="B3:F3"/>
    <mergeCell ref="B9:E9"/>
    <mergeCell ref="B15:D15"/>
    <mergeCell ref="B14:D14"/>
    <mergeCell ref="B13:D13"/>
    <mergeCell ref="B36:D36"/>
    <mergeCell ref="B35:D35"/>
    <mergeCell ref="B34:D34"/>
    <mergeCell ref="B33:D33"/>
    <mergeCell ref="B32:D32"/>
    <mergeCell ref="B31:D31"/>
    <mergeCell ref="B27:D27"/>
    <mergeCell ref="B30:D30"/>
    <mergeCell ref="B29:D29"/>
    <mergeCell ref="B28:D28"/>
    <mergeCell ref="B18:F18"/>
    <mergeCell ref="B21:D21"/>
    <mergeCell ref="B20:D20"/>
    <mergeCell ref="B19:D19"/>
    <mergeCell ref="B26:D26"/>
    <mergeCell ref="B25:D25"/>
    <mergeCell ref="B24:D24"/>
    <mergeCell ref="A1:C1"/>
    <mergeCell ref="B8:D8"/>
    <mergeCell ref="B4:D4"/>
    <mergeCell ref="B11:D11"/>
    <mergeCell ref="B10:D10"/>
    <mergeCell ref="B17:D17"/>
    <mergeCell ref="B7:E7"/>
    <mergeCell ref="B6:E6"/>
    <mergeCell ref="B5:E5"/>
    <mergeCell ref="B16:D16"/>
  </mergeCells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O94"/>
  <sheetViews>
    <sheetView showGridLines="0" zoomScaleNormal="100" workbookViewId="0">
      <selection activeCell="C1" sqref="C1:D1"/>
    </sheetView>
  </sheetViews>
  <sheetFormatPr defaultRowHeight="12.75" x14ac:dyDescent="0.2"/>
  <cols>
    <col min="1" max="1" width="2.7109375" customWidth="1"/>
    <col min="2" max="31" width="12.7109375" customWidth="1"/>
  </cols>
  <sheetData>
    <row r="1" spans="1:15" x14ac:dyDescent="0.2">
      <c r="B1" s="1" t="s">
        <v>0</v>
      </c>
      <c r="C1" s="191" t="s">
        <v>1</v>
      </c>
      <c r="D1" s="191"/>
      <c r="F1" s="88"/>
      <c r="K1" s="88"/>
      <c r="L1" s="88"/>
    </row>
    <row r="2" spans="1:15" x14ac:dyDescent="0.2">
      <c r="B2" s="1" t="s">
        <v>2</v>
      </c>
      <c r="C2" s="191" t="s">
        <v>161</v>
      </c>
      <c r="D2" s="191"/>
      <c r="F2" s="88"/>
      <c r="K2" s="88"/>
      <c r="L2" s="88"/>
    </row>
    <row r="3" spans="1:15" x14ac:dyDescent="0.2">
      <c r="B3" s="2"/>
      <c r="C3" s="187" t="s">
        <v>163</v>
      </c>
      <c r="D3" s="187"/>
      <c r="F3" s="87"/>
      <c r="K3" s="87"/>
      <c r="L3" s="87"/>
    </row>
    <row r="4" spans="1:15" x14ac:dyDescent="0.2">
      <c r="G4" s="2"/>
      <c r="H4" s="3"/>
    </row>
    <row r="5" spans="1:15" x14ac:dyDescent="0.2">
      <c r="A5" s="89"/>
      <c r="B5" s="22" t="s">
        <v>151</v>
      </c>
      <c r="C5" s="22"/>
      <c r="D5" s="22"/>
      <c r="E5" s="22"/>
      <c r="F5" s="7"/>
      <c r="G5" s="7"/>
      <c r="H5" s="7"/>
      <c r="I5" s="7"/>
      <c r="J5" s="7"/>
      <c r="K5" s="7"/>
      <c r="L5" s="7"/>
      <c r="M5" s="6"/>
      <c r="N5" s="6"/>
      <c r="O5" s="6"/>
    </row>
    <row r="6" spans="1:15" ht="15" customHeight="1" x14ac:dyDescent="0.2">
      <c r="A6" s="89"/>
      <c r="B6" s="179" t="s">
        <v>157</v>
      </c>
      <c r="C6" s="179"/>
      <c r="D6" s="179"/>
      <c r="E6" s="179"/>
      <c r="F6" s="179"/>
      <c r="G6" s="179"/>
      <c r="H6" s="179"/>
      <c r="I6" s="179"/>
      <c r="J6" s="179"/>
      <c r="K6" s="179"/>
      <c r="L6" s="98"/>
      <c r="M6" s="6"/>
      <c r="N6" s="6"/>
      <c r="O6" s="6"/>
    </row>
    <row r="7" spans="1:15" x14ac:dyDescent="0.2">
      <c r="A7" s="89"/>
      <c r="B7" s="179" t="s">
        <v>45</v>
      </c>
      <c r="C7" s="179"/>
      <c r="D7" s="179"/>
      <c r="E7" s="179"/>
      <c r="F7" s="179"/>
      <c r="G7" s="179"/>
      <c r="H7" s="179"/>
      <c r="I7" s="179"/>
      <c r="J7" s="179"/>
      <c r="K7" s="179"/>
      <c r="L7" s="98"/>
      <c r="M7" s="6"/>
      <c r="N7" s="6"/>
      <c r="O7" s="6"/>
    </row>
    <row r="8" spans="1:15" x14ac:dyDescent="0.2">
      <c r="A8" s="89"/>
      <c r="B8" s="186">
        <v>41274</v>
      </c>
      <c r="C8" s="186"/>
      <c r="D8" s="186"/>
      <c r="E8" s="186"/>
      <c r="F8" s="186"/>
      <c r="G8" s="186"/>
      <c r="H8" s="186"/>
      <c r="I8" s="186"/>
      <c r="J8" s="186"/>
      <c r="K8" s="186"/>
      <c r="L8" s="97"/>
      <c r="M8" s="6"/>
      <c r="N8" s="6"/>
      <c r="O8" s="6"/>
    </row>
    <row r="9" spans="1:15" x14ac:dyDescent="0.2">
      <c r="A9" s="89"/>
      <c r="B9" s="27"/>
      <c r="C9" s="27"/>
      <c r="D9" s="27"/>
      <c r="E9" s="27"/>
      <c r="F9" s="14"/>
      <c r="G9" s="14"/>
      <c r="H9" s="14"/>
      <c r="I9" s="14"/>
      <c r="J9" s="14"/>
      <c r="K9" s="7"/>
      <c r="L9" s="7"/>
      <c r="M9" s="6"/>
      <c r="N9" s="6"/>
      <c r="O9" s="6"/>
    </row>
    <row r="10" spans="1:15" x14ac:dyDescent="0.2">
      <c r="A10" s="89"/>
      <c r="B10" s="22"/>
      <c r="C10" s="22"/>
      <c r="D10" s="22"/>
      <c r="E10" s="17"/>
      <c r="F10" s="17"/>
      <c r="G10" s="35" t="s">
        <v>46</v>
      </c>
      <c r="H10" s="35"/>
      <c r="I10" s="35"/>
      <c r="J10" s="35"/>
      <c r="K10" s="17" t="s">
        <v>47</v>
      </c>
      <c r="L10" s="7"/>
      <c r="M10" s="6"/>
      <c r="N10" s="6"/>
      <c r="O10" s="6"/>
    </row>
    <row r="11" spans="1:15" x14ac:dyDescent="0.2">
      <c r="A11" s="89"/>
      <c r="B11" s="12" t="s">
        <v>23</v>
      </c>
      <c r="C11" s="12"/>
      <c r="D11" s="12"/>
      <c r="E11" s="12" t="s">
        <v>135</v>
      </c>
      <c r="F11" s="12" t="s">
        <v>130</v>
      </c>
      <c r="G11" s="74"/>
      <c r="H11" s="12" t="s">
        <v>15</v>
      </c>
      <c r="I11" s="21"/>
      <c r="J11" s="12" t="s">
        <v>16</v>
      </c>
      <c r="K11" s="12" t="s">
        <v>48</v>
      </c>
      <c r="L11" s="7"/>
      <c r="M11" s="6"/>
      <c r="N11" s="6"/>
      <c r="O11" s="6"/>
    </row>
    <row r="12" spans="1:15" x14ac:dyDescent="0.2">
      <c r="A12" s="89"/>
      <c r="B12" s="168" t="s">
        <v>137</v>
      </c>
      <c r="C12" s="168"/>
      <c r="D12" s="168"/>
      <c r="E12" s="120">
        <v>-1200000</v>
      </c>
      <c r="F12" s="91"/>
      <c r="G12" s="7"/>
      <c r="H12" s="91"/>
      <c r="I12" s="7"/>
      <c r="J12" s="91"/>
      <c r="K12" s="115">
        <f>E12</f>
        <v>-1200000</v>
      </c>
      <c r="L12" s="7"/>
      <c r="M12" s="6"/>
      <c r="N12" s="6"/>
      <c r="O12" s="6"/>
    </row>
    <row r="13" spans="1:15" x14ac:dyDescent="0.2">
      <c r="A13" s="89"/>
      <c r="B13" s="167" t="s">
        <v>138</v>
      </c>
      <c r="C13" s="167"/>
      <c r="D13" s="167"/>
      <c r="E13" s="121">
        <v>890000</v>
      </c>
      <c r="F13" s="91"/>
      <c r="G13" s="7"/>
      <c r="H13" s="91"/>
      <c r="I13" s="7"/>
      <c r="J13" s="91"/>
      <c r="K13" s="119">
        <f>E13</f>
        <v>890000</v>
      </c>
      <c r="L13" s="7"/>
      <c r="M13" s="6"/>
      <c r="N13" s="6"/>
      <c r="O13" s="6"/>
    </row>
    <row r="14" spans="1:15" x14ac:dyDescent="0.2">
      <c r="A14" s="89"/>
      <c r="B14" s="167" t="s">
        <v>140</v>
      </c>
      <c r="C14" s="167"/>
      <c r="D14" s="167"/>
      <c r="E14" s="122">
        <f>SUM(E12:E13)</f>
        <v>-310000</v>
      </c>
      <c r="F14" s="91"/>
      <c r="G14" s="7"/>
      <c r="H14" s="91"/>
      <c r="I14" s="7"/>
      <c r="J14" s="91"/>
      <c r="K14" s="118">
        <f>SUM(K12:K13)</f>
        <v>-310000</v>
      </c>
      <c r="L14" s="7"/>
      <c r="M14" s="6"/>
      <c r="N14" s="6"/>
      <c r="O14" s="6"/>
    </row>
    <row r="15" spans="1:15" x14ac:dyDescent="0.2">
      <c r="A15" s="89"/>
      <c r="B15" s="167"/>
      <c r="C15" s="167"/>
      <c r="D15" s="167"/>
      <c r="E15" s="91"/>
      <c r="F15" s="91"/>
      <c r="G15" s="7"/>
      <c r="H15" s="91"/>
      <c r="I15" s="7"/>
      <c r="J15" s="91"/>
      <c r="K15" s="91"/>
      <c r="L15" s="7"/>
      <c r="M15" s="6"/>
      <c r="N15" s="6"/>
      <c r="O15" s="6"/>
    </row>
    <row r="16" spans="1:15" x14ac:dyDescent="0.2">
      <c r="A16" s="89"/>
      <c r="B16" s="167" t="s">
        <v>152</v>
      </c>
      <c r="C16" s="167"/>
      <c r="D16" s="167"/>
      <c r="E16" s="120">
        <v>-950000</v>
      </c>
      <c r="F16" s="91"/>
      <c r="G16" s="7"/>
      <c r="H16" s="91"/>
      <c r="I16" s="7"/>
      <c r="J16" s="91"/>
      <c r="K16" s="115">
        <f>E16</f>
        <v>-950000</v>
      </c>
      <c r="L16" s="7"/>
      <c r="M16" s="6"/>
      <c r="N16" s="6"/>
      <c r="O16" s="6"/>
    </row>
    <row r="17" spans="1:15" x14ac:dyDescent="0.2">
      <c r="A17" s="89"/>
      <c r="B17" s="167" t="s">
        <v>140</v>
      </c>
      <c r="C17" s="167"/>
      <c r="D17" s="167"/>
      <c r="E17" s="123">
        <v>-310000</v>
      </c>
      <c r="F17" s="91"/>
      <c r="G17" s="7"/>
      <c r="H17" s="91"/>
      <c r="I17" s="7"/>
      <c r="J17" s="91"/>
      <c r="K17" s="116">
        <f>E17</f>
        <v>-310000</v>
      </c>
      <c r="L17" s="7"/>
      <c r="M17" s="6"/>
      <c r="N17" s="6"/>
      <c r="O17" s="6"/>
    </row>
    <row r="18" spans="1:15" x14ac:dyDescent="0.2">
      <c r="A18" s="89"/>
      <c r="B18" s="167" t="s">
        <v>141</v>
      </c>
      <c r="C18" s="167"/>
      <c r="D18" s="167"/>
      <c r="E18" s="121">
        <v>90000</v>
      </c>
      <c r="F18" s="91"/>
      <c r="G18" s="7"/>
      <c r="H18" s="91"/>
      <c r="I18" s="7"/>
      <c r="J18" s="91"/>
      <c r="K18" s="117">
        <f>E18</f>
        <v>90000</v>
      </c>
      <c r="L18" s="7"/>
      <c r="M18" s="6"/>
      <c r="N18" s="6"/>
      <c r="O18" s="6"/>
    </row>
    <row r="19" spans="1:15" ht="13.5" thickBot="1" x14ac:dyDescent="0.25">
      <c r="A19" s="89"/>
      <c r="B19" s="167" t="s">
        <v>153</v>
      </c>
      <c r="C19" s="167"/>
      <c r="D19" s="167"/>
      <c r="E19" s="124">
        <f>SUM(E16:E18)</f>
        <v>-1170000</v>
      </c>
      <c r="F19" s="91"/>
      <c r="G19" s="7"/>
      <c r="H19" s="91"/>
      <c r="I19" s="7"/>
      <c r="J19" s="91"/>
      <c r="K19" s="104">
        <f>SUM(K16:K18)</f>
        <v>-1170000</v>
      </c>
      <c r="L19" s="7"/>
      <c r="M19" s="6"/>
      <c r="N19" s="6"/>
      <c r="O19" s="6"/>
    </row>
    <row r="20" spans="1:15" ht="13.5" thickTop="1" x14ac:dyDescent="0.2">
      <c r="A20" s="89"/>
      <c r="B20" s="198"/>
      <c r="C20" s="198"/>
      <c r="D20" s="198"/>
      <c r="E20" s="153" t="str">
        <f>IF(E19="","",IF(E19=-1170000,"Correct!","Try again!"))</f>
        <v>Correct!</v>
      </c>
      <c r="F20" s="91"/>
      <c r="G20" s="7"/>
      <c r="H20" s="91"/>
      <c r="I20" s="7"/>
      <c r="J20" s="91"/>
      <c r="K20" s="153" t="str">
        <f>IF(K19="","",IF(K19=-1170000,"Correct!","Try again!"))</f>
        <v>Correct!</v>
      </c>
      <c r="L20" s="7"/>
      <c r="M20" s="6"/>
      <c r="N20" s="6"/>
      <c r="O20" s="6"/>
    </row>
    <row r="21" spans="1:15" x14ac:dyDescent="0.2">
      <c r="A21" s="89"/>
      <c r="B21" s="114"/>
      <c r="C21" s="114"/>
      <c r="D21" s="114"/>
      <c r="E21" s="91"/>
      <c r="F21" s="91"/>
      <c r="G21" s="7"/>
      <c r="H21" s="91"/>
      <c r="I21" s="7"/>
      <c r="J21" s="91"/>
      <c r="K21" s="91"/>
      <c r="L21" s="7"/>
      <c r="M21" s="6"/>
      <c r="N21" s="6"/>
      <c r="O21" s="6"/>
    </row>
    <row r="22" spans="1:15" x14ac:dyDescent="0.2">
      <c r="A22" s="89"/>
      <c r="B22" s="164" t="s">
        <v>4</v>
      </c>
      <c r="C22" s="164"/>
      <c r="D22" s="164"/>
      <c r="E22" s="130">
        <v>86000</v>
      </c>
      <c r="F22" s="135">
        <v>85000</v>
      </c>
      <c r="G22" s="42"/>
      <c r="H22" s="99"/>
      <c r="I22" s="42"/>
      <c r="J22" s="156"/>
      <c r="K22" s="128">
        <f>E22+F22+H22-J22</f>
        <v>171000</v>
      </c>
      <c r="L22" s="30" t="str">
        <f>IF(K22="","",IF(K22=171000,"Correct!","Try again!"))</f>
        <v>Correct!</v>
      </c>
      <c r="M22" s="6"/>
    </row>
    <row r="23" spans="1:15" x14ac:dyDescent="0.2">
      <c r="A23" s="89"/>
      <c r="B23" s="164" t="s">
        <v>142</v>
      </c>
      <c r="C23" s="164"/>
      <c r="D23" s="164"/>
      <c r="E23" s="131">
        <v>750000</v>
      </c>
      <c r="F23" s="136">
        <v>190000</v>
      </c>
      <c r="G23" s="41"/>
      <c r="H23" s="80"/>
      <c r="I23" s="41" t="s">
        <v>49</v>
      </c>
      <c r="J23" s="157">
        <v>10000</v>
      </c>
      <c r="K23" s="128">
        <f t="shared" ref="K23:K29" si="0">E23+F23+H23-J23</f>
        <v>930000</v>
      </c>
      <c r="L23" s="30" t="str">
        <f>IF(K23="","",IF(K23=930000,"Correct!","Try again!"))</f>
        <v>Correct!</v>
      </c>
      <c r="M23" s="6"/>
    </row>
    <row r="24" spans="1:15" x14ac:dyDescent="0.2">
      <c r="A24" s="89"/>
      <c r="B24" s="164" t="s">
        <v>154</v>
      </c>
      <c r="C24" s="164"/>
      <c r="D24" s="164"/>
      <c r="E24" s="131">
        <v>1400000</v>
      </c>
      <c r="F24" s="136">
        <v>450000</v>
      </c>
      <c r="G24" s="41" t="s">
        <v>49</v>
      </c>
      <c r="H24" s="80">
        <v>150000</v>
      </c>
      <c r="I24" s="41"/>
      <c r="J24" s="157"/>
      <c r="K24" s="128">
        <f t="shared" si="0"/>
        <v>2000000</v>
      </c>
      <c r="L24" s="30" t="str">
        <f>IF(K24="","",IF(K24=2000000,"Correct!","Try again!"))</f>
        <v>Correct!</v>
      </c>
      <c r="M24" s="6"/>
    </row>
    <row r="25" spans="1:15" x14ac:dyDescent="0.2">
      <c r="A25" s="89"/>
      <c r="B25" s="164" t="s">
        <v>131</v>
      </c>
      <c r="C25" s="164"/>
      <c r="D25" s="164"/>
      <c r="E25" s="139">
        <v>1062500</v>
      </c>
      <c r="F25" s="140">
        <v>0</v>
      </c>
      <c r="G25" s="148"/>
      <c r="H25" s="80"/>
      <c r="I25" s="41" t="s">
        <v>50</v>
      </c>
      <c r="J25" s="157">
        <v>705000</v>
      </c>
      <c r="K25" s="155">
        <f>E25+F25+H25-J25-J26</f>
        <v>0</v>
      </c>
      <c r="L25" s="30" t="str">
        <f>IF(K25="","",IF(K25=0,"Correct!","Try again!"))</f>
        <v>Correct!</v>
      </c>
      <c r="M25" s="6"/>
    </row>
    <row r="26" spans="1:15" x14ac:dyDescent="0.2">
      <c r="A26" s="89"/>
      <c r="B26" s="164"/>
      <c r="C26" s="164"/>
      <c r="D26" s="164"/>
      <c r="E26" s="141"/>
      <c r="F26" s="142"/>
      <c r="G26" s="149"/>
      <c r="H26" s="80"/>
      <c r="I26" s="41" t="s">
        <v>49</v>
      </c>
      <c r="J26" s="84">
        <v>357500</v>
      </c>
      <c r="K26" s="30"/>
      <c r="L26" s="30"/>
      <c r="M26" s="6"/>
    </row>
    <row r="27" spans="1:15" x14ac:dyDescent="0.2">
      <c r="A27" s="89"/>
      <c r="B27" s="164" t="s">
        <v>155</v>
      </c>
      <c r="C27" s="164"/>
      <c r="D27" s="164"/>
      <c r="E27" s="143"/>
      <c r="F27" s="144"/>
      <c r="G27" s="150" t="s">
        <v>49</v>
      </c>
      <c r="H27" s="80">
        <v>100000</v>
      </c>
      <c r="I27" s="41"/>
      <c r="J27" s="157"/>
      <c r="K27" s="128">
        <f t="shared" si="0"/>
        <v>100000</v>
      </c>
      <c r="L27" s="30" t="str">
        <f>IF(K27="","",IF(K27=100000,"Correct!","Try again!"))</f>
        <v>Correct!</v>
      </c>
      <c r="M27" s="6"/>
    </row>
    <row r="28" spans="1:15" x14ac:dyDescent="0.2">
      <c r="A28" s="89"/>
      <c r="B28" s="164" t="s">
        <v>22</v>
      </c>
      <c r="C28" s="164"/>
      <c r="D28" s="164"/>
      <c r="E28" s="131"/>
      <c r="F28" s="136"/>
      <c r="G28" s="41" t="s">
        <v>49</v>
      </c>
      <c r="H28" s="80">
        <v>77500</v>
      </c>
      <c r="I28" s="41"/>
      <c r="J28" s="157"/>
      <c r="K28" s="128">
        <f t="shared" si="0"/>
        <v>77500</v>
      </c>
      <c r="L28" s="30" t="str">
        <f>IF(K28="","",IF(K28=77500,"Correct!","Try again!"))</f>
        <v>Correct!</v>
      </c>
      <c r="M28" s="6"/>
    </row>
    <row r="29" spans="1:15" x14ac:dyDescent="0.2">
      <c r="A29" s="89"/>
      <c r="B29" s="164" t="s">
        <v>150</v>
      </c>
      <c r="C29" s="164"/>
      <c r="D29" s="164"/>
      <c r="E29" s="133">
        <v>300000</v>
      </c>
      <c r="F29" s="137">
        <v>160000</v>
      </c>
      <c r="G29" s="42" t="s">
        <v>49</v>
      </c>
      <c r="H29" s="79">
        <v>40000</v>
      </c>
      <c r="I29" s="42"/>
      <c r="J29" s="158"/>
      <c r="K29" s="128">
        <f t="shared" si="0"/>
        <v>500000</v>
      </c>
      <c r="L29" s="30" t="str">
        <f>IF(K29="","",IF(K29=500000,"Correct!","Try again!"))</f>
        <v>Correct!</v>
      </c>
      <c r="M29" s="6"/>
    </row>
    <row r="30" spans="1:15" ht="13.5" thickBot="1" x14ac:dyDescent="0.25">
      <c r="A30" s="89"/>
      <c r="B30" s="164" t="s">
        <v>65</v>
      </c>
      <c r="C30" s="164"/>
      <c r="D30" s="164"/>
      <c r="E30" s="125">
        <f>SUM(E22:E29)</f>
        <v>3598500</v>
      </c>
      <c r="F30" s="126">
        <f>SUM(F22:F29)</f>
        <v>885000</v>
      </c>
      <c r="G30" s="36"/>
      <c r="H30" s="55"/>
      <c r="I30" s="36"/>
      <c r="J30" s="55"/>
      <c r="K30" s="126">
        <f>SUM(K22:K29)</f>
        <v>3778500</v>
      </c>
      <c r="L30" s="30"/>
      <c r="M30" s="6"/>
    </row>
    <row r="31" spans="1:15" ht="13.5" thickTop="1" x14ac:dyDescent="0.2">
      <c r="A31" s="89"/>
      <c r="B31" s="164"/>
      <c r="C31" s="164"/>
      <c r="D31" s="164"/>
      <c r="E31" s="147"/>
      <c r="F31" s="55"/>
      <c r="G31" s="36"/>
      <c r="H31" s="55"/>
      <c r="I31" s="36"/>
      <c r="J31" s="55"/>
      <c r="K31" s="86"/>
      <c r="L31" s="31"/>
      <c r="M31" s="6"/>
    </row>
    <row r="32" spans="1:15" x14ac:dyDescent="0.2">
      <c r="A32" s="89"/>
      <c r="B32" s="164" t="s">
        <v>144</v>
      </c>
      <c r="C32" s="164"/>
      <c r="D32" s="164"/>
      <c r="E32" s="132">
        <v>-500000</v>
      </c>
      <c r="F32" s="135">
        <v>-180000</v>
      </c>
      <c r="G32" s="151"/>
      <c r="H32" s="135"/>
      <c r="I32" s="135"/>
      <c r="J32" s="135"/>
      <c r="K32" s="128">
        <f>E32+F32+H32-J32</f>
        <v>-680000</v>
      </c>
      <c r="L32" s="30" t="str">
        <f>IF(K32="","",IF(K32=-680000,"Correct!","Try again!"))</f>
        <v>Correct!</v>
      </c>
      <c r="M32" s="6"/>
    </row>
    <row r="33" spans="1:13" x14ac:dyDescent="0.2">
      <c r="A33" s="89"/>
      <c r="B33" s="164" t="s">
        <v>156</v>
      </c>
      <c r="C33" s="164"/>
      <c r="D33" s="164"/>
      <c r="E33" s="131">
        <v>-62500</v>
      </c>
      <c r="F33" s="136"/>
      <c r="G33" s="145"/>
      <c r="H33" s="146"/>
      <c r="I33" s="145"/>
      <c r="J33" s="146"/>
      <c r="K33" s="128">
        <f>E33+F33+H33-J33</f>
        <v>-62500</v>
      </c>
      <c r="L33" s="30" t="str">
        <f>IF(K33="","",IF(K33=-62500,"Correct!","Try again!"))</f>
        <v>Correct!</v>
      </c>
      <c r="M33" s="6"/>
    </row>
    <row r="34" spans="1:13" x14ac:dyDescent="0.2">
      <c r="A34" s="89"/>
      <c r="B34" s="164" t="s">
        <v>44</v>
      </c>
      <c r="C34" s="164"/>
      <c r="D34" s="164"/>
      <c r="E34" s="134">
        <v>-650000</v>
      </c>
      <c r="F34" s="136">
        <v>-200000</v>
      </c>
      <c r="G34" s="41" t="s">
        <v>50</v>
      </c>
      <c r="H34" s="80">
        <v>200000</v>
      </c>
      <c r="I34" s="41"/>
      <c r="J34" s="157"/>
      <c r="K34" s="128">
        <f>E34+F34+H34-J34</f>
        <v>-650000</v>
      </c>
      <c r="L34" s="30" t="str">
        <f>IF(K34="","",IF(K34=-650000,"Correct!","Try again!"))</f>
        <v>Correct!</v>
      </c>
      <c r="M34" s="6"/>
    </row>
    <row r="35" spans="1:13" x14ac:dyDescent="0.2">
      <c r="A35" s="89"/>
      <c r="B35" s="164" t="s">
        <v>26</v>
      </c>
      <c r="C35" s="164"/>
      <c r="D35" s="164"/>
      <c r="E35" s="133">
        <v>-1216000</v>
      </c>
      <c r="F35" s="136">
        <v>-70000</v>
      </c>
      <c r="G35" s="41" t="s">
        <v>50</v>
      </c>
      <c r="H35" s="80">
        <v>70000</v>
      </c>
      <c r="I35" s="41"/>
      <c r="J35" s="157"/>
      <c r="K35" s="128">
        <f>E35+F35+H35-J35</f>
        <v>-1216000</v>
      </c>
      <c r="L35" s="30" t="str">
        <f>IF(K35="","",IF(K35=-1216000,"Correct!","Try again!"))</f>
        <v>Correct!</v>
      </c>
      <c r="M35" s="6"/>
    </row>
    <row r="36" spans="1:13" x14ac:dyDescent="0.2">
      <c r="A36" s="89"/>
      <c r="B36" s="164" t="s">
        <v>53</v>
      </c>
      <c r="C36" s="164"/>
      <c r="D36" s="164"/>
      <c r="E36" s="133">
        <f>E19</f>
        <v>-1170000</v>
      </c>
      <c r="F36" s="138">
        <v>-435000</v>
      </c>
      <c r="G36" s="42" t="s">
        <v>50</v>
      </c>
      <c r="H36" s="81">
        <v>435000</v>
      </c>
      <c r="I36" s="51"/>
      <c r="J36" s="159"/>
      <c r="K36" s="154">
        <f>E36+F36+H36-J36</f>
        <v>-1170000</v>
      </c>
      <c r="L36" s="30" t="str">
        <f>IF(K36="","",IF(K36=-1170000,"Correct!","Try again!"))</f>
        <v>Correct!</v>
      </c>
      <c r="M36" s="6"/>
    </row>
    <row r="37" spans="1:13" ht="13.5" thickBot="1" x14ac:dyDescent="0.25">
      <c r="A37" s="89"/>
      <c r="B37" s="164" t="s">
        <v>66</v>
      </c>
      <c r="C37" s="164"/>
      <c r="D37" s="164"/>
      <c r="E37" s="125">
        <f>SUM(E32:E36)</f>
        <v>-3598500</v>
      </c>
      <c r="F37" s="127">
        <f>SUM(F32:F36)</f>
        <v>-885000</v>
      </c>
      <c r="G37" s="33"/>
      <c r="H37" s="152">
        <f>SUM(H22:H36)</f>
        <v>1072500</v>
      </c>
      <c r="I37" s="33"/>
      <c r="J37" s="152">
        <f>SUM(J22:J36)</f>
        <v>1072500</v>
      </c>
      <c r="K37" s="129">
        <f>SUM(K32:K36)</f>
        <v>-3778500</v>
      </c>
      <c r="L37" s="30"/>
      <c r="M37" s="6"/>
    </row>
    <row r="38" spans="1:13" ht="13.5" thickTop="1" x14ac:dyDescent="0.2">
      <c r="A38" s="89"/>
      <c r="B38" s="7"/>
      <c r="C38" s="7"/>
      <c r="D38" s="7"/>
      <c r="E38" s="153" t="str">
        <f>IF(E37="","",IF(E37=-3598500,"Correct!","Try again!"))</f>
        <v>Correct!</v>
      </c>
      <c r="F38" s="153" t="str">
        <f>IF(F37="","",IF(F37=-885000,"Correct!","Try again!"))</f>
        <v>Correct!</v>
      </c>
      <c r="G38" s="7"/>
      <c r="H38" s="153" t="str">
        <f>IF(H37="","",IF(H37=1072500,"Correct!","Try again!"))</f>
        <v>Correct!</v>
      </c>
      <c r="I38" s="7"/>
      <c r="J38" s="153" t="str">
        <f>IF(J37="","",IF(J37=1072500,"Correct!","Try again!"))</f>
        <v>Correct!</v>
      </c>
      <c r="K38" s="153" t="str">
        <f>IF(K37="","",IF(K37=-3778500,"Correct!","Try again!"))</f>
        <v>Correct!</v>
      </c>
      <c r="L38" s="4"/>
    </row>
    <row r="39" spans="1:13" x14ac:dyDescent="0.2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3" x14ac:dyDescent="0.2"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3" x14ac:dyDescent="0.2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3" x14ac:dyDescent="0.2"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3" x14ac:dyDescent="0.2"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3" x14ac:dyDescent="0.2"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3" x14ac:dyDescent="0.2"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3" x14ac:dyDescent="0.2"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3" x14ac:dyDescent="0.2"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3" x14ac:dyDescent="0.2"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2:14" x14ac:dyDescent="0.2"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2:14" x14ac:dyDescent="0.2"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2:14" x14ac:dyDescent="0.2"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2:14" x14ac:dyDescent="0.2"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2:14" x14ac:dyDescent="0.2"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2:14" x14ac:dyDescent="0.2"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2:14" x14ac:dyDescent="0.2"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2:14" x14ac:dyDescent="0.2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4" x14ac:dyDescent="0.2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x14ac:dyDescent="0.2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2:14" x14ac:dyDescent="0.2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x14ac:dyDescent="0.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x14ac:dyDescent="0.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x14ac:dyDescent="0.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x14ac:dyDescent="0.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2:14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2:14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2:14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2:14" x14ac:dyDescent="0.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2:14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2:14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2:14" x14ac:dyDescent="0.2">
      <c r="B90" s="6"/>
      <c r="C90" s="6"/>
      <c r="D90" s="6"/>
      <c r="E90" s="6"/>
      <c r="F90" s="6"/>
      <c r="G90" s="6"/>
      <c r="H90" s="6"/>
      <c r="K90" s="6"/>
      <c r="L90" s="6"/>
      <c r="M90" s="6"/>
      <c r="N90" s="6"/>
    </row>
    <row r="91" spans="2:14" x14ac:dyDescent="0.2">
      <c r="B91" s="6"/>
      <c r="C91" s="6"/>
      <c r="D91" s="6"/>
      <c r="E91" s="6"/>
      <c r="K91" s="6"/>
      <c r="L91" s="6"/>
      <c r="M91" s="6"/>
      <c r="N91" s="6"/>
    </row>
    <row r="92" spans="2:14" x14ac:dyDescent="0.2">
      <c r="B92" s="6"/>
      <c r="C92" s="6"/>
      <c r="D92" s="6"/>
      <c r="E92" s="6"/>
      <c r="K92" s="6"/>
      <c r="L92" s="6"/>
      <c r="M92" s="6"/>
      <c r="N92" s="6"/>
    </row>
    <row r="93" spans="2:14" x14ac:dyDescent="0.2">
      <c r="B93" s="6"/>
      <c r="C93" s="6"/>
      <c r="D93" s="6"/>
      <c r="E93" s="6"/>
      <c r="K93" s="6"/>
      <c r="L93" s="6"/>
      <c r="M93" s="6"/>
      <c r="N93" s="6"/>
    </row>
    <row r="94" spans="2:14" x14ac:dyDescent="0.2">
      <c r="B94" s="6"/>
      <c r="C94" s="6"/>
      <c r="D94" s="6"/>
      <c r="E94" s="6"/>
    </row>
  </sheetData>
  <sheetProtection password="C690" sheet="1" objects="1" scenarios="1" selectLockedCells="1"/>
  <mergeCells count="31">
    <mergeCell ref="B37:D37"/>
    <mergeCell ref="B8:K8"/>
    <mergeCell ref="B7:K7"/>
    <mergeCell ref="B6:K6"/>
    <mergeCell ref="B36:D36"/>
    <mergeCell ref="B35:D35"/>
    <mergeCell ref="B34:D34"/>
    <mergeCell ref="B33:D33"/>
    <mergeCell ref="B32:D32"/>
    <mergeCell ref="B31:D31"/>
    <mergeCell ref="B30:D30"/>
    <mergeCell ref="B29:D29"/>
    <mergeCell ref="B28:D28"/>
    <mergeCell ref="B26:D26"/>
    <mergeCell ref="B25:D25"/>
    <mergeCell ref="B24:D24"/>
    <mergeCell ref="B23:D23"/>
    <mergeCell ref="B22:D22"/>
    <mergeCell ref="B27:D27"/>
    <mergeCell ref="B20:D20"/>
    <mergeCell ref="B19:D19"/>
    <mergeCell ref="B18:D18"/>
    <mergeCell ref="B17:D17"/>
    <mergeCell ref="B16:D16"/>
    <mergeCell ref="B15:D15"/>
    <mergeCell ref="B14:D14"/>
    <mergeCell ref="B13:D13"/>
    <mergeCell ref="B12:D12"/>
    <mergeCell ref="C3:D3"/>
    <mergeCell ref="C2:D2"/>
    <mergeCell ref="C1:D1"/>
  </mergeCells>
  <phoneticPr fontId="0" type="noConversion"/>
  <dataValidations count="1">
    <dataValidation type="list" allowBlank="1" showInputMessage="1" showErrorMessage="1" sqref="G22:G29 G33:G36 I33:I36 I22:I29">
      <formula1>"[A], [S]"</formula1>
    </dataValidation>
  </dataValidations>
  <printOptions horizontalCentered="1"/>
  <pageMargins left="0.5" right="0.5" top="0.52" bottom="0.28999999999999998" header="0.5" footer="0.33"/>
  <pageSetup scale="90" orientation="landscape" horizontalDpi="300" verticalDpi="300" r:id="rId1"/>
  <headerFooter alignWithMargins="0"/>
  <rowBreaks count="1" manualBreakCount="1">
    <brk id="72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36"/>
  <sheetViews>
    <sheetView showGridLines="0" workbookViewId="0">
      <selection sqref="A1:C1"/>
    </sheetView>
  </sheetViews>
  <sheetFormatPr defaultRowHeight="12.75" x14ac:dyDescent="0.2"/>
  <cols>
    <col min="1" max="1" width="2.7109375" customWidth="1"/>
    <col min="2" max="2" width="12.7109375" customWidth="1"/>
    <col min="3" max="3" width="13.7109375" customWidth="1"/>
    <col min="4" max="6" width="12.7109375" customWidth="1"/>
    <col min="7" max="7" width="2.7109375" customWidth="1"/>
    <col min="8" max="21" width="12.7109375" customWidth="1"/>
  </cols>
  <sheetData>
    <row r="1" spans="1:7" x14ac:dyDescent="0.2">
      <c r="A1" s="195" t="s">
        <v>162</v>
      </c>
      <c r="B1" s="195"/>
      <c r="C1" s="195"/>
    </row>
    <row r="3" spans="1:7" x14ac:dyDescent="0.2">
      <c r="A3" s="89"/>
      <c r="B3" s="164" t="s">
        <v>128</v>
      </c>
      <c r="C3" s="164"/>
      <c r="D3" s="164"/>
      <c r="E3" s="164"/>
      <c r="F3" s="8"/>
      <c r="G3" s="7"/>
    </row>
    <row r="4" spans="1:7" x14ac:dyDescent="0.2">
      <c r="A4" s="89"/>
      <c r="B4" s="164" t="s">
        <v>132</v>
      </c>
      <c r="C4" s="164"/>
      <c r="D4" s="164"/>
      <c r="E4" s="164"/>
      <c r="F4" s="8">
        <v>1</v>
      </c>
      <c r="G4" s="7"/>
    </row>
    <row r="5" spans="1:7" x14ac:dyDescent="0.2">
      <c r="A5" s="89"/>
      <c r="B5" s="164" t="s">
        <v>136</v>
      </c>
      <c r="C5" s="164"/>
      <c r="D5" s="164"/>
      <c r="E5" s="164"/>
      <c r="F5" s="53"/>
      <c r="G5" s="7"/>
    </row>
    <row r="6" spans="1:7" x14ac:dyDescent="0.2">
      <c r="A6" s="89"/>
      <c r="B6" s="164" t="s">
        <v>3</v>
      </c>
      <c r="C6" s="164"/>
      <c r="D6" s="164"/>
      <c r="E6" s="164"/>
      <c r="F6" s="95">
        <v>50000</v>
      </c>
      <c r="G6" s="7"/>
    </row>
    <row r="7" spans="1:7" x14ac:dyDescent="0.2">
      <c r="A7" s="89"/>
      <c r="B7" s="164" t="s">
        <v>147</v>
      </c>
      <c r="C7" s="164"/>
      <c r="D7" s="164"/>
      <c r="E7" s="164"/>
      <c r="F7" s="52">
        <v>20</v>
      </c>
      <c r="G7" s="7"/>
    </row>
    <row r="8" spans="1:7" x14ac:dyDescent="0.2">
      <c r="A8" s="89"/>
      <c r="B8" s="164" t="s">
        <v>148</v>
      </c>
      <c r="C8" s="164"/>
      <c r="D8" s="164"/>
      <c r="E8" s="164"/>
      <c r="F8" s="52">
        <v>130000</v>
      </c>
      <c r="G8" s="7"/>
    </row>
    <row r="9" spans="1:7" x14ac:dyDescent="0.2">
      <c r="A9" s="89"/>
      <c r="B9" s="164" t="s">
        <v>145</v>
      </c>
      <c r="C9" s="164"/>
      <c r="D9" s="164"/>
      <c r="E9" s="164"/>
      <c r="F9" s="52">
        <v>100000</v>
      </c>
      <c r="G9" s="7"/>
    </row>
    <row r="10" spans="1:7" x14ac:dyDescent="0.2">
      <c r="A10" s="89"/>
      <c r="B10" s="164" t="s">
        <v>174</v>
      </c>
      <c r="C10" s="164"/>
      <c r="D10" s="164"/>
      <c r="E10" s="164"/>
      <c r="F10" s="113">
        <v>0.5</v>
      </c>
      <c r="G10" s="7"/>
    </row>
    <row r="11" spans="1:7" x14ac:dyDescent="0.2">
      <c r="A11" s="89"/>
      <c r="B11" s="164" t="s">
        <v>149</v>
      </c>
      <c r="C11" s="164"/>
      <c r="D11" s="164"/>
      <c r="E11" s="164"/>
      <c r="F11" s="113">
        <v>0.04</v>
      </c>
      <c r="G11" s="7"/>
    </row>
    <row r="12" spans="1:7" x14ac:dyDescent="0.2">
      <c r="A12" s="89"/>
      <c r="B12" s="164" t="s">
        <v>146</v>
      </c>
      <c r="C12" s="164"/>
      <c r="D12" s="164"/>
      <c r="E12" s="164"/>
      <c r="F12" s="53">
        <v>15000</v>
      </c>
      <c r="G12" s="7"/>
    </row>
    <row r="13" spans="1:7" x14ac:dyDescent="0.2">
      <c r="A13" s="89"/>
      <c r="B13" s="164" t="s">
        <v>133</v>
      </c>
      <c r="C13" s="164"/>
      <c r="D13" s="164"/>
      <c r="E13" s="164"/>
      <c r="F13" s="53">
        <v>9000</v>
      </c>
      <c r="G13" s="7"/>
    </row>
    <row r="14" spans="1:7" x14ac:dyDescent="0.2">
      <c r="A14" s="89"/>
      <c r="B14" s="164"/>
      <c r="C14" s="164"/>
      <c r="D14" s="4"/>
      <c r="E14" s="17"/>
      <c r="F14" s="7"/>
      <c r="G14" s="7"/>
    </row>
    <row r="15" spans="1:7" x14ac:dyDescent="0.2">
      <c r="A15" s="89"/>
      <c r="B15" s="164"/>
      <c r="C15" s="164"/>
      <c r="D15" s="17"/>
      <c r="E15" s="35" t="s">
        <v>129</v>
      </c>
      <c r="F15" s="28"/>
      <c r="G15" s="7"/>
    </row>
    <row r="16" spans="1:7" x14ac:dyDescent="0.2">
      <c r="A16" s="89"/>
      <c r="B16" s="164"/>
      <c r="C16" s="164"/>
      <c r="D16" s="15"/>
      <c r="E16" s="15" t="s">
        <v>27</v>
      </c>
      <c r="F16" s="17" t="s">
        <v>64</v>
      </c>
      <c r="G16" s="7"/>
    </row>
    <row r="17" spans="1:7" x14ac:dyDescent="0.2">
      <c r="A17" s="89"/>
      <c r="B17" s="166"/>
      <c r="C17" s="166"/>
      <c r="D17" s="12" t="s">
        <v>134</v>
      </c>
      <c r="E17" s="12" t="s">
        <v>93</v>
      </c>
      <c r="F17" s="12" t="s">
        <v>93</v>
      </c>
      <c r="G17" s="7"/>
    </row>
    <row r="18" spans="1:7" x14ac:dyDescent="0.2">
      <c r="A18" s="89"/>
      <c r="B18" s="168" t="s">
        <v>137</v>
      </c>
      <c r="C18" s="168"/>
      <c r="D18" s="108">
        <f>-1200000</f>
        <v>-1200000</v>
      </c>
      <c r="E18" s="107"/>
      <c r="F18" s="107"/>
      <c r="G18" s="7"/>
    </row>
    <row r="19" spans="1:7" x14ac:dyDescent="0.2">
      <c r="A19" s="89"/>
      <c r="B19" s="167" t="s">
        <v>138</v>
      </c>
      <c r="C19" s="167"/>
      <c r="D19" s="109">
        <v>875000</v>
      </c>
      <c r="E19" s="107"/>
      <c r="F19" s="107"/>
      <c r="G19" s="7"/>
    </row>
    <row r="20" spans="1:7" ht="13.5" thickBot="1" x14ac:dyDescent="0.25">
      <c r="A20" s="89"/>
      <c r="B20" s="167" t="s">
        <v>139</v>
      </c>
      <c r="C20" s="167"/>
      <c r="D20" s="110">
        <f>SUM(D18:D19)</f>
        <v>-325000</v>
      </c>
      <c r="E20" s="107"/>
      <c r="F20" s="107"/>
      <c r="G20" s="7"/>
    </row>
    <row r="21" spans="1:7" ht="13.5" thickTop="1" x14ac:dyDescent="0.2">
      <c r="A21" s="89"/>
      <c r="B21" s="167" t="s">
        <v>175</v>
      </c>
      <c r="C21" s="167"/>
      <c r="D21" s="108">
        <f>-950000</f>
        <v>-950000</v>
      </c>
      <c r="E21" s="107"/>
      <c r="F21" s="107"/>
      <c r="G21" s="7"/>
    </row>
    <row r="22" spans="1:7" x14ac:dyDescent="0.2">
      <c r="A22" s="89"/>
      <c r="B22" s="167" t="s">
        <v>140</v>
      </c>
      <c r="C22" s="167"/>
      <c r="D22" s="107">
        <v>-325000</v>
      </c>
      <c r="E22" s="107"/>
      <c r="F22" s="107"/>
      <c r="G22" s="7"/>
    </row>
    <row r="23" spans="1:7" x14ac:dyDescent="0.2">
      <c r="A23" s="89"/>
      <c r="B23" s="167" t="s">
        <v>141</v>
      </c>
      <c r="C23" s="167"/>
      <c r="D23" s="107">
        <v>90000</v>
      </c>
      <c r="E23" s="107"/>
      <c r="F23" s="107"/>
      <c r="G23" s="7"/>
    </row>
    <row r="24" spans="1:7" ht="13.5" thickBot="1" x14ac:dyDescent="0.25">
      <c r="A24" s="89"/>
      <c r="B24" s="167" t="s">
        <v>176</v>
      </c>
      <c r="C24" s="167"/>
      <c r="D24" s="110">
        <f>SUM(D21:D23)</f>
        <v>-1185000</v>
      </c>
      <c r="E24" s="107"/>
      <c r="F24" s="107"/>
      <c r="G24" s="7"/>
    </row>
    <row r="25" spans="1:7" ht="13.5" thickTop="1" x14ac:dyDescent="0.2">
      <c r="A25" s="89"/>
      <c r="B25" s="167"/>
      <c r="C25" s="167"/>
      <c r="D25" s="15"/>
      <c r="E25" s="15"/>
      <c r="F25" s="15"/>
      <c r="G25" s="7"/>
    </row>
    <row r="26" spans="1:7" x14ac:dyDescent="0.2">
      <c r="A26" s="89"/>
      <c r="B26" s="167" t="s">
        <v>4</v>
      </c>
      <c r="C26" s="167"/>
      <c r="D26" s="52">
        <v>110000</v>
      </c>
      <c r="E26" s="52">
        <v>85000</v>
      </c>
      <c r="F26" s="52">
        <v>85000</v>
      </c>
      <c r="G26" s="7"/>
    </row>
    <row r="27" spans="1:7" x14ac:dyDescent="0.2">
      <c r="A27" s="89"/>
      <c r="B27" s="167" t="s">
        <v>142</v>
      </c>
      <c r="C27" s="167"/>
      <c r="D27" s="55">
        <v>750000</v>
      </c>
      <c r="E27" s="55">
        <v>190000</v>
      </c>
      <c r="F27" s="55">
        <v>180000</v>
      </c>
      <c r="G27" s="7"/>
    </row>
    <row r="28" spans="1:7" x14ac:dyDescent="0.2">
      <c r="A28" s="89"/>
      <c r="B28" s="167" t="s">
        <v>143</v>
      </c>
      <c r="C28" s="167"/>
      <c r="D28" s="86">
        <v>1400000</v>
      </c>
      <c r="E28" s="86">
        <v>450000</v>
      </c>
      <c r="F28" s="55">
        <v>600000</v>
      </c>
      <c r="G28" s="4"/>
    </row>
    <row r="29" spans="1:7" x14ac:dyDescent="0.2">
      <c r="A29" s="89"/>
      <c r="B29" s="167" t="s">
        <v>150</v>
      </c>
      <c r="C29" s="167"/>
      <c r="D29" s="86">
        <v>300000</v>
      </c>
      <c r="E29" s="86">
        <v>160000</v>
      </c>
      <c r="F29" s="55">
        <v>200000</v>
      </c>
      <c r="G29" s="4"/>
    </row>
    <row r="30" spans="1:7" ht="13.5" thickBot="1" x14ac:dyDescent="0.25">
      <c r="A30" s="89"/>
      <c r="B30" s="167" t="s">
        <v>120</v>
      </c>
      <c r="C30" s="167"/>
      <c r="D30" s="111">
        <f>SUM(D26:D29)</f>
        <v>2560000</v>
      </c>
      <c r="E30" s="111">
        <f>SUM(E26:E29)</f>
        <v>885000</v>
      </c>
      <c r="F30" s="55"/>
      <c r="G30" s="4"/>
    </row>
    <row r="31" spans="1:7" ht="13.5" thickTop="1" x14ac:dyDescent="0.2">
      <c r="A31" s="89"/>
      <c r="B31" s="167" t="s">
        <v>144</v>
      </c>
      <c r="C31" s="167"/>
      <c r="D31" s="112">
        <v>-500000</v>
      </c>
      <c r="E31" s="112">
        <v>-180000</v>
      </c>
      <c r="F31" s="53">
        <v>-180000</v>
      </c>
      <c r="G31" s="4"/>
    </row>
    <row r="32" spans="1:7" x14ac:dyDescent="0.2">
      <c r="A32" s="89"/>
      <c r="B32" s="167" t="s">
        <v>44</v>
      </c>
      <c r="C32" s="167"/>
      <c r="D32" s="86">
        <v>-400000</v>
      </c>
      <c r="E32" s="86">
        <v>-200000</v>
      </c>
      <c r="F32" s="55"/>
      <c r="G32" s="4"/>
    </row>
    <row r="33" spans="1:7" x14ac:dyDescent="0.2">
      <c r="A33" s="89"/>
      <c r="B33" s="167" t="s">
        <v>26</v>
      </c>
      <c r="C33" s="167"/>
      <c r="D33" s="86">
        <v>-475000</v>
      </c>
      <c r="E33" s="86">
        <v>-70000</v>
      </c>
      <c r="F33" s="55"/>
      <c r="G33" s="4"/>
    </row>
    <row r="34" spans="1:7" x14ac:dyDescent="0.2">
      <c r="A34" s="89"/>
      <c r="B34" s="167" t="s">
        <v>53</v>
      </c>
      <c r="C34" s="167"/>
      <c r="D34" s="86">
        <v>-1185000</v>
      </c>
      <c r="E34" s="86">
        <v>-435000</v>
      </c>
      <c r="F34" s="55"/>
      <c r="G34" s="4"/>
    </row>
    <row r="35" spans="1:7" ht="13.5" thickBot="1" x14ac:dyDescent="0.25">
      <c r="A35" s="89"/>
      <c r="B35" s="167" t="s">
        <v>125</v>
      </c>
      <c r="C35" s="167"/>
      <c r="D35" s="111">
        <f>SUM(D31:D34)</f>
        <v>-2560000</v>
      </c>
      <c r="E35" s="111">
        <f>SUM(E31:E34)</f>
        <v>-885000</v>
      </c>
      <c r="F35" s="55"/>
      <c r="G35" s="4"/>
    </row>
    <row r="36" spans="1:7" ht="13.5" thickTop="1" x14ac:dyDescent="0.2">
      <c r="A36" s="89"/>
      <c r="B36" s="4"/>
      <c r="C36" s="4"/>
      <c r="D36" s="4"/>
      <c r="E36" s="4"/>
      <c r="F36" s="4"/>
      <c r="G36" s="4"/>
    </row>
  </sheetData>
  <sheetProtection password="C690" sheet="1" objects="1" scenarios="1" selectLockedCells="1" selectUnlockedCells="1"/>
  <mergeCells count="34">
    <mergeCell ref="B9:E9"/>
    <mergeCell ref="B8:E8"/>
    <mergeCell ref="B35:C35"/>
    <mergeCell ref="B34:C34"/>
    <mergeCell ref="B33:C33"/>
    <mergeCell ref="B32:C32"/>
    <mergeCell ref="B31:C31"/>
    <mergeCell ref="B30:C30"/>
    <mergeCell ref="B29:C29"/>
    <mergeCell ref="B13:E13"/>
    <mergeCell ref="B12:E12"/>
    <mergeCell ref="B7:E7"/>
    <mergeCell ref="B6:E6"/>
    <mergeCell ref="B28:C28"/>
    <mergeCell ref="B27:C27"/>
    <mergeCell ref="B26:C26"/>
    <mergeCell ref="B11:E11"/>
    <mergeCell ref="B25:C25"/>
    <mergeCell ref="B16:C16"/>
    <mergeCell ref="B15:C15"/>
    <mergeCell ref="B14:C14"/>
    <mergeCell ref="B17:C17"/>
    <mergeCell ref="B19:C19"/>
    <mergeCell ref="B18:C18"/>
    <mergeCell ref="A1:C1"/>
    <mergeCell ref="B20:C20"/>
    <mergeCell ref="B21:C21"/>
    <mergeCell ref="B22:C22"/>
    <mergeCell ref="B23:C23"/>
    <mergeCell ref="B24:C24"/>
    <mergeCell ref="B10:E10"/>
    <mergeCell ref="B4:E4"/>
    <mergeCell ref="B3:E3"/>
    <mergeCell ref="B5:E5"/>
  </mergeCells>
  <phoneticPr fontId="0" type="noConversion"/>
  <printOptions horizontalCentered="1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SP02-26</vt:lpstr>
      <vt:lpstr>Given P02-26</vt:lpstr>
      <vt:lpstr>SP02-27</vt:lpstr>
      <vt:lpstr>Given P02-27</vt:lpstr>
      <vt:lpstr>SP02-32</vt:lpstr>
      <vt:lpstr>Given P02-32</vt:lpstr>
      <vt:lpstr>'SP02-32'!Print_Area</vt:lpstr>
      <vt:lpstr>'SP02-26'!Print_Titles</vt:lpstr>
      <vt:lpstr>'SP02-27'!Print_Titles</vt:lpstr>
      <vt:lpstr>'SP02-32'!Print_Titles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Jack Terry</cp:lastModifiedBy>
  <cp:lastPrinted>2013-09-17T21:17:53Z</cp:lastPrinted>
  <dcterms:created xsi:type="dcterms:W3CDTF">2002-01-03T18:06:33Z</dcterms:created>
  <dcterms:modified xsi:type="dcterms:W3CDTF">2013-09-17T21:19:15Z</dcterms:modified>
</cp:coreProperties>
</file>