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imevans/Desktop/BA3 SOLUTIONS FINAL/"/>
    </mc:Choice>
  </mc:AlternateContent>
  <bookViews>
    <workbookView xWindow="59200" yWindow="8860" windowWidth="26960" windowHeight="16880" tabRatio="788"/>
  </bookViews>
  <sheets>
    <sheet name="1.1" sheetId="15" r:id="rId1"/>
    <sheet name="1.2" sheetId="17" r:id="rId2"/>
    <sheet name="1.3" sheetId="1" r:id="rId3"/>
    <sheet name="1.4" sheetId="18" r:id="rId4"/>
    <sheet name="1.5" sheetId="28" r:id="rId5"/>
    <sheet name="1.6" sheetId="27" r:id="rId6"/>
    <sheet name="1.7" sheetId="7" r:id="rId7"/>
    <sheet name="1.8" sheetId="8" r:id="rId8"/>
    <sheet name="1.9" sheetId="11" r:id="rId9"/>
    <sheet name="1.10" sheetId="13" r:id="rId10"/>
    <sheet name="1.11" sheetId="29" r:id="rId11"/>
    <sheet name="1.12" sheetId="30" r:id="rId12"/>
    <sheet name="A1.1" sheetId="45" r:id="rId13"/>
    <sheet name="A1.2" sheetId="31" r:id="rId14"/>
    <sheet name="A1.3" sheetId="36" r:id="rId15"/>
    <sheet name="A1.4" sheetId="20" r:id="rId16"/>
    <sheet name="A1.5" sheetId="23" r:id="rId17"/>
    <sheet name="A1.6" sheetId="37" r:id="rId18"/>
    <sheet name="A1.7" sheetId="38" r:id="rId19"/>
    <sheet name="A1.8" sheetId="32" r:id="rId20"/>
    <sheet name="A1.9" sheetId="33" r:id="rId21"/>
    <sheet name="A1.10" sheetId="34" r:id="rId22"/>
    <sheet name="A1.11" sheetId="39" r:id="rId23"/>
    <sheet name="A1.12" sheetId="40" r:id="rId24"/>
    <sheet name="A1.13" sheetId="42" r:id="rId25"/>
  </sheets>
  <definedNames>
    <definedName name="anscount" hidden="1">1</definedName>
    <definedName name="Cancellations">A1.13!$B$14</definedName>
    <definedName name="Customer_arrivals">A1.13!$B$15</definedName>
    <definedName name="Customer_demand">A1.13!$B$12</definedName>
    <definedName name="Fixed_cost">A1.11!$B$6</definedName>
    <definedName name="Gross_margin_unit_Clips">A1.12!$E$4</definedName>
    <definedName name="Gross_margin_unit_Plugs">A1.12!$B$4</definedName>
    <definedName name="Gross_margin_unit_Rails">A1.12!$C$4</definedName>
    <definedName name="Gross_margin_unit_Rivets">A1.12!$D$4</definedName>
    <definedName name="limcount" hidden="1">1</definedName>
    <definedName name="Machine_Capacity">A1.12!$F$5</definedName>
    <definedName name="Manufacture">A1.11!$B$20</definedName>
    <definedName name="Maximum_production_Clips">A1.12!$E$7</definedName>
    <definedName name="Maximum_production_Plugs">A1.12!$B$7</definedName>
    <definedName name="Maximum_production_Rails">A1.12!$C$7</definedName>
    <definedName name="Maximum_production_Rivets">A1.12!$D$7</definedName>
    <definedName name="Minutes_unit_Clips">A1.12!$E$5</definedName>
    <definedName name="Minutes_unit_Plugs">A1.12!$B$5</definedName>
    <definedName name="Minutes_unit_Rails">A1.12!$C$5</definedName>
    <definedName name="Minutes_unit_Rivets">A1.12!$D$5</definedName>
    <definedName name="Mzximum_production_Rivets">A1.12!$C$7</definedName>
    <definedName name="Net_revenue">A1.13!$B$18</definedName>
    <definedName name="Overbooked_customers">A1.13!$B$17</definedName>
    <definedName name="Overbooking_cost">A1.13!$B$7</definedName>
    <definedName name="Price">A1.13!$B$6</definedName>
    <definedName name="Production_volume">A1.11!$B$12</definedName>
    <definedName name="Reservation_limit">A1.13!$B$11</definedName>
    <definedName name="Reservations_made">A1.13!$B$13</definedName>
    <definedName name="Rooms_available">A1.13!$B$5</definedName>
    <definedName name="sencount" hidden="1">1</definedName>
    <definedName name="solver_ntri" hidden="1">1000</definedName>
    <definedName name="solver_rsmp" hidden="1">2</definedName>
    <definedName name="solver_seed" hidden="1">0</definedName>
    <definedName name="solver_typ" localSheetId="21" hidden="1">2</definedName>
    <definedName name="solver_ver" localSheetId="21" hidden="1">11</definedName>
    <definedName name="Total_manufacturing_cost">A1.11!$B$16</definedName>
    <definedName name="Total_purchased_cost">A1.11!$B$17</definedName>
    <definedName name="Unit_cost">A1.11!$B$10</definedName>
    <definedName name="Unit_variable_cost">A1.11!$B$7</definedName>
  </definedNames>
  <calcPr calcId="150001" concurrentCalc="0"/>
  <customWorkbookViews>
    <customWorkbookView name="Windows User - Personal View" guid="{AF9B499A-CFA5-4E76-B3DA-A02CB2931756}" mergeInterval="0" personalView="1" xWindow="142" yWindow="69" windowWidth="1370" windowHeight="909" activeSheetId="14"/>
    <customWorkbookView name="Ozgur Ozluk - Personal View" guid="{84AD1FC9-1D54-4CF5-8568-C97DE11A5CD2}" mergeInterval="0" personalView="1" maximized="1" xWindow="1" yWindow="1" windowWidth="1440" windowHeight="679" activeSheetId="1"/>
    <customWorkbookView name="Annie Puciloski - Personal View" guid="{2FF1250F-24F0-45EB-B0FF-E663C210EB95}" mergeInterval="0" personalView="1" xWindow="-2" yWindow="24" windowWidth="1276" windowHeight="647" activeSheetId="2" showComments="commIndAndComment"/>
    <customWorkbookView name="cob - Personal View" guid="{56AF3BB6-958F-BF40-8163-F038875C20D8}" mergeInterval="0" personalView="1" xWindow="-6" yWindow="53" windowWidth="1241" windowHeight="584" activeSheetId="8"/>
    <customWorkbookView name="Jim Evans - Personal View" guid="{7ED021FD-8147-EA42-B54F-8D7F27448679}" mergeInterval="0" personalView="1" xWindow="741" yWindow="513" windowWidth="1086" windowHeight="584" activeSheetId="5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40" l="1"/>
  <c r="B7" i="40"/>
  <c r="E8" i="45"/>
  <c r="B8" i="45"/>
  <c r="B13" i="42"/>
  <c r="B15" i="42"/>
  <c r="B17" i="42"/>
  <c r="B18" i="42"/>
  <c r="E7" i="40"/>
  <c r="E8" i="40"/>
  <c r="D7" i="40"/>
  <c r="D8" i="40"/>
  <c r="C7" i="40"/>
  <c r="C8" i="40"/>
  <c r="E6" i="40"/>
  <c r="D6" i="40"/>
  <c r="C6" i="40"/>
  <c r="B16" i="39"/>
  <c r="B17" i="39"/>
  <c r="B19" i="39"/>
  <c r="B20" i="39"/>
  <c r="B14" i="32"/>
  <c r="B10" i="38"/>
  <c r="B36" i="37"/>
  <c r="B35" i="37"/>
  <c r="B34" i="37"/>
  <c r="B33" i="37"/>
  <c r="B6" i="36"/>
  <c r="B7" i="36"/>
  <c r="B8" i="36"/>
  <c r="B9" i="36"/>
  <c r="B10" i="36"/>
  <c r="I4" i="34"/>
  <c r="I5" i="34"/>
  <c r="I6" i="34"/>
  <c r="I7" i="34"/>
  <c r="I8" i="34"/>
  <c r="I9" i="34"/>
  <c r="I10" i="34"/>
  <c r="I11" i="34"/>
  <c r="I12" i="34"/>
  <c r="I13" i="34"/>
  <c r="I14" i="34"/>
  <c r="I15" i="34"/>
  <c r="I16" i="34"/>
  <c r="I17" i="34"/>
  <c r="I18" i="34"/>
  <c r="I19" i="34"/>
  <c r="I20" i="34"/>
  <c r="I21" i="34"/>
  <c r="I22" i="34"/>
  <c r="I23" i="34"/>
  <c r="I24" i="34"/>
  <c r="I25" i="34"/>
  <c r="I26" i="34"/>
  <c r="I27" i="34"/>
  <c r="I28" i="34"/>
  <c r="I29" i="34"/>
  <c r="I30" i="34"/>
  <c r="I31" i="34"/>
  <c r="I32" i="34"/>
  <c r="I33" i="34"/>
  <c r="I34" i="34"/>
  <c r="I35" i="34"/>
  <c r="I36" i="34"/>
  <c r="I37" i="34"/>
  <c r="I38" i="34"/>
  <c r="I39" i="34"/>
  <c r="I40" i="34"/>
  <c r="I41" i="34"/>
  <c r="I42" i="34"/>
  <c r="I43" i="34"/>
  <c r="I44" i="34"/>
  <c r="I45" i="34"/>
  <c r="I46" i="34"/>
  <c r="I47" i="34"/>
  <c r="I48" i="34"/>
  <c r="I49" i="34"/>
  <c r="I50" i="34"/>
  <c r="I51" i="34"/>
  <c r="I52" i="34"/>
  <c r="I53" i="34"/>
  <c r="I54" i="34"/>
  <c r="I55" i="34"/>
  <c r="I56" i="34"/>
  <c r="I57" i="34"/>
  <c r="I58" i="34"/>
  <c r="I59" i="34"/>
  <c r="I60" i="34"/>
  <c r="I61" i="34"/>
  <c r="I62" i="34"/>
  <c r="I63" i="34"/>
  <c r="I64" i="34"/>
  <c r="I65" i="34"/>
  <c r="I66" i="34"/>
  <c r="I67" i="34"/>
  <c r="I68" i="34"/>
  <c r="I69" i="34"/>
  <c r="I70" i="34"/>
  <c r="I71" i="34"/>
  <c r="I72" i="34"/>
  <c r="I73" i="34"/>
  <c r="I74" i="34"/>
  <c r="I75" i="34"/>
  <c r="I76" i="34"/>
  <c r="I77" i="34"/>
  <c r="I78" i="34"/>
  <c r="I79" i="34"/>
  <c r="I80" i="34"/>
  <c r="I81" i="34"/>
  <c r="I82" i="34"/>
  <c r="I83" i="34"/>
  <c r="I84" i="34"/>
  <c r="I85" i="34"/>
  <c r="I86" i="34"/>
  <c r="I87" i="34"/>
  <c r="I88" i="34"/>
  <c r="I89" i="34"/>
  <c r="I90" i="34"/>
  <c r="I91" i="34"/>
  <c r="I92" i="34"/>
  <c r="I93" i="34"/>
  <c r="I94" i="34"/>
  <c r="I95" i="34"/>
  <c r="I96" i="34"/>
  <c r="I97" i="34"/>
  <c r="I98" i="34"/>
  <c r="I99" i="34"/>
  <c r="L4" i="34"/>
  <c r="L5" i="34"/>
  <c r="L6" i="34"/>
  <c r="L7" i="34"/>
  <c r="L8" i="34"/>
  <c r="L9" i="34"/>
  <c r="L10" i="34"/>
  <c r="L11" i="34"/>
  <c r="L16" i="34"/>
  <c r="L17" i="34"/>
  <c r="L18" i="34"/>
  <c r="D4" i="33"/>
  <c r="E4" i="33"/>
  <c r="D5" i="33"/>
  <c r="E5" i="33"/>
  <c r="D6" i="33"/>
  <c r="E6" i="33"/>
  <c r="D7" i="33"/>
  <c r="E7" i="33"/>
  <c r="D8" i="33"/>
  <c r="E8" i="33"/>
  <c r="D9" i="33"/>
  <c r="E9" i="33"/>
  <c r="E12" i="33"/>
  <c r="E6" i="31"/>
  <c r="F6" i="31"/>
  <c r="E7" i="31"/>
  <c r="F7" i="31"/>
  <c r="E8" i="31"/>
  <c r="F8" i="31"/>
  <c r="E9" i="31"/>
  <c r="F9" i="31"/>
  <c r="E10" i="31"/>
  <c r="F10" i="31"/>
  <c r="E11" i="31"/>
  <c r="F11" i="31"/>
  <c r="E12" i="31"/>
  <c r="F12" i="31"/>
  <c r="E13" i="31"/>
  <c r="F13" i="31"/>
  <c r="E14" i="31"/>
  <c r="F14" i="31"/>
  <c r="D10" i="28"/>
  <c r="D9" i="28"/>
  <c r="M9" i="27"/>
  <c r="H9" i="27"/>
  <c r="N9" i="27"/>
  <c r="M10" i="27"/>
  <c r="H10" i="27"/>
  <c r="N10" i="27"/>
  <c r="M11" i="27"/>
  <c r="H11" i="27"/>
  <c r="N11" i="27"/>
  <c r="M12" i="27"/>
  <c r="H12" i="27"/>
  <c r="N12" i="27"/>
  <c r="M13" i="27"/>
  <c r="H13" i="27"/>
  <c r="N13" i="27"/>
  <c r="M14" i="27"/>
  <c r="H14" i="27"/>
  <c r="N14" i="27"/>
  <c r="M15" i="27"/>
  <c r="H15" i="27"/>
  <c r="N15" i="27"/>
  <c r="M16" i="27"/>
  <c r="H16" i="27"/>
  <c r="N16" i="27"/>
  <c r="M17" i="27"/>
  <c r="H17" i="27"/>
  <c r="N17" i="27"/>
  <c r="M18" i="27"/>
  <c r="H18" i="27"/>
  <c r="N18" i="27"/>
  <c r="M19" i="27"/>
  <c r="H19" i="27"/>
  <c r="N19" i="27"/>
  <c r="M20" i="27"/>
  <c r="H20" i="27"/>
  <c r="N20" i="27"/>
  <c r="M21" i="27"/>
  <c r="H21" i="27"/>
  <c r="N21" i="27"/>
  <c r="M22" i="27"/>
  <c r="H22" i="27"/>
  <c r="N22" i="27"/>
  <c r="M23" i="27"/>
  <c r="H23" i="27"/>
  <c r="N23" i="27"/>
  <c r="M8" i="27"/>
  <c r="H8" i="27"/>
  <c r="N8" i="27"/>
  <c r="K9" i="27"/>
  <c r="L9" i="27"/>
  <c r="K10" i="27"/>
  <c r="L10" i="27"/>
  <c r="K11" i="27"/>
  <c r="L11" i="27"/>
  <c r="K12" i="27"/>
  <c r="L12" i="27"/>
  <c r="K13" i="27"/>
  <c r="L13" i="27"/>
  <c r="K14" i="27"/>
  <c r="L14" i="27"/>
  <c r="K15" i="27"/>
  <c r="L15" i="27"/>
  <c r="K16" i="27"/>
  <c r="L16" i="27"/>
  <c r="K17" i="27"/>
  <c r="L17" i="27"/>
  <c r="K18" i="27"/>
  <c r="L18" i="27"/>
  <c r="K19" i="27"/>
  <c r="L19" i="27"/>
  <c r="K20" i="27"/>
  <c r="L20" i="27"/>
  <c r="K21" i="27"/>
  <c r="L21" i="27"/>
  <c r="K22" i="27"/>
  <c r="L22" i="27"/>
  <c r="K23" i="27"/>
  <c r="L23" i="27"/>
  <c r="K8" i="27"/>
  <c r="L8" i="27"/>
  <c r="I9" i="27"/>
  <c r="I10" i="27"/>
  <c r="I11" i="27"/>
  <c r="I12" i="27"/>
  <c r="I13" i="27"/>
  <c r="I14" i="27"/>
  <c r="I15" i="27"/>
  <c r="I16" i="27"/>
  <c r="I17" i="27"/>
  <c r="I18" i="27"/>
  <c r="I19" i="27"/>
  <c r="I20" i="27"/>
  <c r="I21" i="27"/>
  <c r="I22" i="27"/>
  <c r="I23" i="27"/>
  <c r="I8" i="27"/>
  <c r="J23" i="27"/>
  <c r="J22" i="27"/>
  <c r="J21" i="27"/>
  <c r="J20" i="27"/>
  <c r="J19" i="27"/>
  <c r="J18" i="27"/>
  <c r="J17" i="27"/>
  <c r="J16" i="27"/>
  <c r="J15" i="27"/>
  <c r="J14" i="27"/>
  <c r="J13" i="27"/>
  <c r="J12" i="27"/>
  <c r="J11" i="27"/>
  <c r="J10" i="27"/>
  <c r="J9" i="27"/>
  <c r="J8" i="27"/>
  <c r="B11" i="23"/>
  <c r="B12" i="23"/>
  <c r="B13" i="23"/>
  <c r="B14" i="23"/>
  <c r="B15" i="23"/>
  <c r="B16" i="23"/>
  <c r="B17" i="23"/>
  <c r="B18" i="23"/>
  <c r="B19" i="23"/>
  <c r="B20" i="23"/>
  <c r="B10" i="23"/>
  <c r="B7" i="23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F5" i="11"/>
  <c r="G5" i="11"/>
  <c r="H5" i="11"/>
  <c r="I5" i="11"/>
  <c r="J5" i="11"/>
  <c r="F6" i="11"/>
  <c r="G6" i="11"/>
  <c r="H6" i="11"/>
  <c r="I6" i="11"/>
  <c r="J6" i="11"/>
  <c r="F7" i="11"/>
  <c r="G7" i="11"/>
  <c r="H7" i="11"/>
  <c r="I7" i="11"/>
  <c r="J7" i="11"/>
  <c r="F8" i="11"/>
  <c r="G8" i="11"/>
  <c r="H8" i="11"/>
  <c r="I8" i="11"/>
  <c r="J8" i="11"/>
  <c r="F9" i="11"/>
  <c r="G9" i="11"/>
  <c r="H9" i="11"/>
  <c r="I9" i="11"/>
  <c r="J9" i="11"/>
  <c r="F10" i="11"/>
  <c r="G10" i="11"/>
  <c r="H10" i="11"/>
  <c r="I10" i="11"/>
  <c r="J10" i="11"/>
  <c r="F11" i="11"/>
  <c r="G11" i="11"/>
  <c r="H11" i="11"/>
  <c r="I11" i="11"/>
  <c r="J11" i="11"/>
  <c r="F12" i="11"/>
  <c r="G12" i="11"/>
  <c r="H12" i="11"/>
  <c r="I12" i="11"/>
  <c r="J12" i="11"/>
  <c r="F13" i="11"/>
  <c r="G13" i="11"/>
  <c r="H13" i="11"/>
  <c r="I13" i="11"/>
  <c r="J13" i="11"/>
  <c r="G4" i="11"/>
  <c r="H4" i="11"/>
  <c r="I4" i="11"/>
  <c r="J4" i="11"/>
  <c r="F4" i="11"/>
  <c r="C18" i="7"/>
</calcChain>
</file>

<file path=xl/sharedStrings.xml><?xml version="1.0" encoding="utf-8"?>
<sst xmlns="http://schemas.openxmlformats.org/spreadsheetml/2006/main" count="1102" uniqueCount="277">
  <si>
    <t>BALANCE = -17,732 + 367 x AGE + 1300 x YEARS EDUCATION + 0.116 x HOUSEHOLD WEALTH</t>
  </si>
  <si>
    <t>a.</t>
  </si>
  <si>
    <t>The average account balance increases by approximately $367 for each year increase in AGE</t>
  </si>
  <si>
    <t>The average account balance increases by approximately $1300 for each year increase in EDUCATION</t>
  </si>
  <si>
    <t>The average account balance increases by approximately $0.116 for each $1 increase in WEALTH</t>
  </si>
  <si>
    <t>b.</t>
  </si>
  <si>
    <t>AGE</t>
  </si>
  <si>
    <t>EDUCATION</t>
  </si>
  <si>
    <t>WEALTH</t>
  </si>
  <si>
    <t>years old</t>
  </si>
  <si>
    <t>years</t>
  </si>
  <si>
    <t>PREDICTED BALANCE</t>
  </si>
  <si>
    <t>D = k - pP + aA + tT + qQ</t>
  </si>
  <si>
    <t xml:space="preserve">a. </t>
  </si>
  <si>
    <t>P:</t>
  </si>
  <si>
    <t>As Price increases, Demand goes down.</t>
  </si>
  <si>
    <t>A:</t>
  </si>
  <si>
    <t>T:</t>
  </si>
  <si>
    <t>Q:</t>
  </si>
  <si>
    <t>As Advertising increases, Demand goes up.</t>
  </si>
  <si>
    <t>As Transportation increases, Demand goes up.</t>
  </si>
  <si>
    <t>As Product Quality increases, Demand goes up.</t>
  </si>
  <si>
    <t xml:space="preserve">c. </t>
  </si>
  <si>
    <t>The relationship of D to P is overly simplistic. If P is too high, the model predicts negative D, in fact D will be at least ZERO.</t>
  </si>
  <si>
    <t>The variables might influence each other as well. For example, high production quality may cost more and hence may have a higher price tag.</t>
  </si>
  <si>
    <t>a</t>
  </si>
  <si>
    <t>b</t>
  </si>
  <si>
    <t>x</t>
  </si>
  <si>
    <t>When b&lt;0, more marketing effort means less demand</t>
  </si>
  <si>
    <t>When b=0, marketing effort has no effect on demand</t>
  </si>
  <si>
    <t>When 0&lt;b&lt;1, we can observe law of diminishing returns</t>
  </si>
  <si>
    <t>When b=1, the relation between marketing effort and demand is linear</t>
  </si>
  <si>
    <t>When b&gt;1, the returns in demand increase for every additional unit marketing effort</t>
  </si>
  <si>
    <t>The models assume that we can clearly measure marketing effect and demand.</t>
  </si>
  <si>
    <t>Also, we do not consider any other factors that affect the demand.</t>
  </si>
  <si>
    <t>Intuitively, the models when b&lt;0 and b=0 and b&gt;1 does not make much sense.</t>
  </si>
  <si>
    <t>It is likely that 0 &lt; b  &lt;= 1</t>
  </si>
  <si>
    <t>To determine a good estimate for b, we need to collect data and fit it to the given curve.</t>
  </si>
  <si>
    <t>TP = TR - TC</t>
  </si>
  <si>
    <t>d</t>
  </si>
  <si>
    <t>Business analytics can help to predict customer demand at the checkout counters and determine the appropriate number to have open.</t>
  </si>
  <si>
    <t xml:space="preserve">We can use descriptive analytics by examining historical data on customer flow </t>
  </si>
  <si>
    <t>http://supermarketnews.com/technology/technology-helps-kroger-keep-fast-checkout-promise</t>
  </si>
  <si>
    <t>This is quite open ended.</t>
  </si>
  <si>
    <t>One might keep track of grocery inventory and use it to decide what they need to purchase.</t>
  </si>
  <si>
    <t>Keeping track of miles driven, mpg, etc. for a car can predict when the next maintenance will be due and budget accordingly.</t>
  </si>
  <si>
    <t>Keeping track of golf statistics for example can help to diagnose problems and improve one's game.</t>
  </si>
  <si>
    <t>Students should come up with numerous other examples to help appreciate the role of data and analytics in their personal lives.</t>
  </si>
  <si>
    <t>Checking and Savings Account Balance Model</t>
  </si>
  <si>
    <t>Total Marketing Effort</t>
  </si>
  <si>
    <t>Personal Applications of Analytics</t>
  </si>
  <si>
    <t>Supermarket Analytics</t>
  </si>
  <si>
    <t>This exercise is designed to help students think in terms of "mental models" and evaluate</t>
  </si>
  <si>
    <t>reasonable assumptions</t>
  </si>
  <si>
    <t>Analytics applications</t>
  </si>
  <si>
    <t>a. Making and marketing a new product</t>
  </si>
  <si>
    <t>c. Determining a personal investment plan</t>
  </si>
  <si>
    <t>Analytics might be used to understand consumer preferences, manage the supply chain, schedule production, determine advertising allocations, and so on.</t>
  </si>
  <si>
    <t>Comparing costs of alternative locations, finding the location that minimizes overall cost.</t>
  </si>
  <si>
    <t>Collecting and understanding data for different investment choices, allocating funds among different investments, managing risk, etc.</t>
  </si>
  <si>
    <t>a. The Chief Financial Officer for a small manufacturing firm would like to estimate the net profit that the firm could expect over the next 3 years.</t>
  </si>
  <si>
    <t>b. A human resource manager needs to understand whether its current employee mix has the skills and capabilities to achieve the goals laid out by a new strategic plan.</t>
  </si>
  <si>
    <t>c. A financial advisor would like to develop the best mix of stocks, bonds, and other investments for a client to achieve a comfortable level of risk.</t>
  </si>
  <si>
    <t>d. A large service firm wishes to determine how to invest the cash received from its financial product to achieve the best return.</t>
  </si>
  <si>
    <t>e. A logistics company wants to better understand the relative profitability of its numerous customers over the past three years.</t>
  </si>
  <si>
    <t>f. A disaster relief agency needs to allocate its budget for the next year among various relief efforts and programs.</t>
  </si>
  <si>
    <t xml:space="preserve">g. An automobile company would like to determine the number of vehicles it could sell next year based on the proposed price. </t>
  </si>
  <si>
    <t>h. A baseball team would like to set ticket prices for different sections in its stadium to attract the highest number of fans throughout the season.</t>
  </si>
  <si>
    <t>Descriptive, predictive, or prescriptive</t>
  </si>
  <si>
    <t>predictive</t>
  </si>
  <si>
    <t>descriptive</t>
  </si>
  <si>
    <t>prescriptive</t>
  </si>
  <si>
    <t>Descriptive analytics might also be used to analyze past data.</t>
  </si>
  <si>
    <t>As with problem 1, there is no one correct answer.  Some basic ideas are listed below.  At this point, instructors should not expect students to have deep analytical insights!</t>
  </si>
  <si>
    <t>A (predictive) model can be developed to forecast customer demand, say 30 or 60 minutes in the future.</t>
  </si>
  <si>
    <t>A (prescriptive) model might be developed to find the number of checkout counters to open to ensure a reasonable wait time or maximize customer throughput.</t>
  </si>
  <si>
    <t>c</t>
  </si>
  <si>
    <t>MODEL:</t>
  </si>
  <si>
    <t>S = a * e ^ (b * e ^ (c * t))</t>
  </si>
  <si>
    <t>PARAMETERS:</t>
  </si>
  <si>
    <t>t</t>
  </si>
  <si>
    <t>S</t>
  </si>
  <si>
    <t>Gompertz Curve</t>
  </si>
  <si>
    <t>Marketing Model</t>
  </si>
  <si>
    <t>Return on Investment</t>
  </si>
  <si>
    <t>Incremental sales</t>
  </si>
  <si>
    <t>Marketing investment</t>
  </si>
  <si>
    <t>Marketing ROI</t>
  </si>
  <si>
    <t>Gross margin</t>
  </si>
  <si>
    <t>Demand Model</t>
  </si>
  <si>
    <t>Cost Model</t>
  </si>
  <si>
    <t>Total Revenue</t>
  </si>
  <si>
    <t>Total Cost</t>
  </si>
  <si>
    <t>Total Profit</t>
  </si>
  <si>
    <t xml:space="preserve">C = 5000 + 5D </t>
  </si>
  <si>
    <t>Headphone Model</t>
  </si>
  <si>
    <t>Advertising Strategies</t>
  </si>
  <si>
    <t>Sales In Units</t>
  </si>
  <si>
    <t>WEEK</t>
  </si>
  <si>
    <t>Price ($)</t>
  </si>
  <si>
    <t>Coupon (0,1)</t>
  </si>
  <si>
    <t>Adv ($)</t>
  </si>
  <si>
    <t>Store 1</t>
  </si>
  <si>
    <t>Store 2</t>
  </si>
  <si>
    <t>Store 3</t>
  </si>
  <si>
    <t>Difference</t>
  </si>
  <si>
    <t>Total Sales</t>
  </si>
  <si>
    <t>Model Estimated Sales</t>
  </si>
  <si>
    <t>Without Advertising</t>
  </si>
  <si>
    <t>Without Coupons</t>
  </si>
  <si>
    <t>Price</t>
  </si>
  <si>
    <t>MANUFACTURE</t>
  </si>
  <si>
    <t>OUTSOURCE</t>
  </si>
  <si>
    <t>Variable Cost</t>
  </si>
  <si>
    <t>/unit</t>
  </si>
  <si>
    <t>Fixed Cost</t>
  </si>
  <si>
    <t>units</t>
  </si>
  <si>
    <t>Cost of Manufacturing</t>
  </si>
  <si>
    <t>Cost of Outsourcing</t>
  </si>
  <si>
    <t>Volume</t>
  </si>
  <si>
    <t>D = 2500 - 3P</t>
  </si>
  <si>
    <t>= 5000 + 5 x ( 2500 - 3P) = 17500 - 15P</t>
  </si>
  <si>
    <t>TR = D x P = ( 2500 - 3P) x P = 2500P - 3 P^2</t>
  </si>
  <si>
    <t>TC = 17500 - 15P</t>
  </si>
  <si>
    <t>= 2500P - 3 P^2 - (17500 - 15P)</t>
  </si>
  <si>
    <t>= -17,500 + 2515 P - 3 P^2</t>
  </si>
  <si>
    <t>Problem Definition and Analysis</t>
  </si>
  <si>
    <r>
      <t xml:space="preserve">This was described by the late Gene Woolsey in one of his columns in </t>
    </r>
    <r>
      <rPr>
        <i/>
        <sz val="12"/>
        <color theme="1"/>
        <rFont val="Arial"/>
      </rPr>
      <t>Interfaces.</t>
    </r>
    <r>
      <rPr>
        <sz val="12"/>
        <color theme="1"/>
        <rFont val="Arial"/>
        <family val="2"/>
      </rPr>
      <t xml:space="preserve"> </t>
    </r>
  </si>
  <si>
    <t>The problem was that only the planes that returned safely were studied!</t>
  </si>
  <si>
    <t>The real problem should have been to determine the vulnerabilities of the planes that were shot down.</t>
  </si>
  <si>
    <t>All occupations</t>
  </si>
  <si>
    <t>Engineers</t>
  </si>
  <si>
    <t>Social scientists</t>
  </si>
  <si>
    <t>Physical scientists</t>
  </si>
  <si>
    <t>Mathematical scientists</t>
  </si>
  <si>
    <t>Computer specialists</t>
  </si>
  <si>
    <t>Mathematical/computer scientists</t>
  </si>
  <si>
    <t>Life scientists</t>
  </si>
  <si>
    <t>Scientists</t>
  </si>
  <si>
    <t>Percentage</t>
  </si>
  <si>
    <t>Nominal</t>
  </si>
  <si>
    <t>Occupation</t>
  </si>
  <si>
    <t>PROJECTED INCREASE</t>
  </si>
  <si>
    <t>Total science and engineering jobs in thousands: 2000 and projected 2010</t>
  </si>
  <si>
    <t>Science and Engineering Jobs</t>
  </si>
  <si>
    <t>NPV</t>
  </si>
  <si>
    <t>Discount Rate</t>
  </si>
  <si>
    <t>NET PROFIT</t>
  </si>
  <si>
    <t>YEAR</t>
  </si>
  <si>
    <t>Pharmeceutical Manufacturer</t>
  </si>
  <si>
    <t>New Car</t>
  </si>
  <si>
    <t>Furniture</t>
  </si>
  <si>
    <t>Small Appliance</t>
  </si>
  <si>
    <t>Education</t>
  </si>
  <si>
    <t>Used Car</t>
  </si>
  <si>
    <t>Business</t>
  </si>
  <si>
    <t>Large Appliance</t>
  </si>
  <si>
    <t>Repairs</t>
  </si>
  <si>
    <t>Other</t>
  </si>
  <si>
    <t>Retraining</t>
  </si>
  <si>
    <t>less than $500</t>
  </si>
  <si>
    <t>No of Customers</t>
  </si>
  <si>
    <t>Checking Acct Balance</t>
  </si>
  <si>
    <t>Number of Applicants</t>
  </si>
  <si>
    <t>Loan Purpose</t>
  </si>
  <si>
    <t xml:space="preserve">Checking </t>
  </si>
  <si>
    <t>Credit Risk Base Data</t>
  </si>
  <si>
    <t>December</t>
  </si>
  <si>
    <t>Laptop</t>
  </si>
  <si>
    <t>East</t>
  </si>
  <si>
    <t>November</t>
  </si>
  <si>
    <t>October</t>
  </si>
  <si>
    <t>PC Mouse</t>
  </si>
  <si>
    <t>Wireless Keyboard</t>
  </si>
  <si>
    <t>24" Monitor</t>
  </si>
  <si>
    <t>North</t>
  </si>
  <si>
    <t>South</t>
  </si>
  <si>
    <t>TOTAL SALES REVENUE</t>
  </si>
  <si>
    <t>SALES REGION</t>
  </si>
  <si>
    <t>STORE NO</t>
  </si>
  <si>
    <t>Total Weekly Revenue</t>
  </si>
  <si>
    <t>Week Ending</t>
  </si>
  <si>
    <t>Units Sold</t>
  </si>
  <si>
    <t>Unit Price</t>
  </si>
  <si>
    <t>Item Description</t>
  </si>
  <si>
    <t>Item No.</t>
  </si>
  <si>
    <t>Sales Region</t>
  </si>
  <si>
    <t>Store No.</t>
  </si>
  <si>
    <t>ID</t>
  </si>
  <si>
    <t>Store and Regional Database</t>
  </si>
  <si>
    <t>Data</t>
  </si>
  <si>
    <t>Salary Model</t>
  </si>
  <si>
    <t>Starting Salary</t>
  </si>
  <si>
    <t>Annual Increase</t>
  </si>
  <si>
    <t>Accounting Department Survey Data</t>
  </si>
  <si>
    <t>Employee</t>
  </si>
  <si>
    <t>Gender</t>
  </si>
  <si>
    <t>Years of Service</t>
  </si>
  <si>
    <t>Years Undergraduate Study</t>
  </si>
  <si>
    <t>Graduate Degree?</t>
  </si>
  <si>
    <t>CPA?</t>
  </si>
  <si>
    <t>Age Group</t>
  </si>
  <si>
    <t>F</t>
  </si>
  <si>
    <t>N</t>
  </si>
  <si>
    <t>Y</t>
  </si>
  <si>
    <t>41-45</t>
  </si>
  <si>
    <t>26-30</t>
  </si>
  <si>
    <t>M</t>
  </si>
  <si>
    <t>31-35</t>
  </si>
  <si>
    <t>36-40</t>
  </si>
  <si>
    <t>51-55</t>
  </si>
  <si>
    <t>46-50</t>
  </si>
  <si>
    <t>21-25</t>
  </si>
  <si>
    <t>c.</t>
  </si>
  <si>
    <t>d.</t>
  </si>
  <si>
    <t>Net Present Value</t>
  </si>
  <si>
    <t>Year</t>
  </si>
  <si>
    <t>Revenue</t>
  </si>
  <si>
    <t>Discount rate</t>
  </si>
  <si>
    <t>Break-Even Decision Model</t>
  </si>
  <si>
    <t>Manufactured in-house</t>
  </si>
  <si>
    <t>Fixed cost</t>
  </si>
  <si>
    <t>Unit variable cost</t>
  </si>
  <si>
    <t>Purchased from supplier</t>
  </si>
  <si>
    <t>Unit cost</t>
  </si>
  <si>
    <t>Production volume</t>
  </si>
  <si>
    <t>Model</t>
  </si>
  <si>
    <t>Total manufacturing cost</t>
  </si>
  <si>
    <t>Total purchased cost</t>
  </si>
  <si>
    <t>Cost difference (Manufacture - Purchase)</t>
  </si>
  <si>
    <t>Best Decision</t>
  </si>
  <si>
    <t>Crebo Manufacturing Model</t>
  </si>
  <si>
    <t>Product</t>
  </si>
  <si>
    <t>Plugs (X1)</t>
  </si>
  <si>
    <t>Rails (X2)</t>
  </si>
  <si>
    <t>Rivets (X3)</t>
  </si>
  <si>
    <t>Clips (X4)</t>
  </si>
  <si>
    <t>Machine Capacity</t>
  </si>
  <si>
    <t>Gross margin/unit</t>
  </si>
  <si>
    <t>Minutes/unit</t>
  </si>
  <si>
    <t>Gross margin/minute</t>
  </si>
  <si>
    <t>Maximum production</t>
  </si>
  <si>
    <t>Profit</t>
  </si>
  <si>
    <t>Hotel Overbooking Model</t>
  </si>
  <si>
    <t>Rooms available</t>
  </si>
  <si>
    <t>Overbooking cost</t>
  </si>
  <si>
    <t>Reservation limit</t>
  </si>
  <si>
    <t>Customer demand</t>
  </si>
  <si>
    <t>Reservations made</t>
  </si>
  <si>
    <t>Cancellations</t>
  </si>
  <si>
    <t>Customer arrivals</t>
  </si>
  <si>
    <t>Overbooked customers</t>
  </si>
  <si>
    <t>Net revenue</t>
  </si>
  <si>
    <t>PuzzlOR</t>
  </si>
  <si>
    <t>These can be fun for classroom activities and team competitions.</t>
  </si>
  <si>
    <t>Many of these can be solved using techniques in this book; however,</t>
  </si>
  <si>
    <t>even if students cannot develop a formal model, the puzzles can be fun and</t>
  </si>
  <si>
    <t>competitively challenging, and generate more interest in analytics.</t>
  </si>
  <si>
    <t>Outsourcing Problem</t>
  </si>
  <si>
    <t>Best option</t>
  </si>
  <si>
    <t>Demand Prediction Models</t>
  </si>
  <si>
    <t>Linear Model</t>
  </si>
  <si>
    <t>Nonlinear Model</t>
  </si>
  <si>
    <t>Demand</t>
  </si>
  <si>
    <t>Click on a cell to see its range name in the Name box.</t>
  </si>
  <si>
    <t>Click on a data cell to see its range name in the Name box.</t>
  </si>
  <si>
    <t>Click on a formula cell to see the range names used in the formula</t>
  </si>
  <si>
    <t>b. Deciding where to locate a new plant</t>
  </si>
  <si>
    <t>during each hour of each day of the week and month.</t>
  </si>
  <si>
    <t>The national chain, Kroger, is using business analytics in a similar fashion using a system called QueVision.</t>
  </si>
  <si>
    <t>Total Sales = 1105.55 + 56.18 x Price + 123.88 x Coupon + 5.24 x Advertising</t>
  </si>
  <si>
    <t>The differences without coupons or advertising are much larger, indicating that these models are not as accurate.</t>
  </si>
  <si>
    <t>The variables do not influence each other.  If there were a product of the variable terms, then they would.</t>
  </si>
  <si>
    <t>Students would have to choose</t>
  </si>
  <si>
    <t>a reasonable value for a by</t>
  </si>
  <si>
    <t>trial and error.</t>
  </si>
  <si>
    <t>Example: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</si>
</sst>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dd\-mmm\-yy"/>
    <numFmt numFmtId="168" formatCode="&quot;$&quot;#,##0.00;\(&quot;$&quot;#,##0.00\)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i/>
      <sz val="12"/>
      <color theme="1"/>
      <name val="Arial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4" fillId="0" borderId="0" applyFont="0" applyFill="0" applyBorder="0" applyAlignment="0" applyProtection="0"/>
    <xf numFmtId="0" fontId="11" fillId="0" borderId="0"/>
  </cellStyleXfs>
  <cellXfs count="162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/>
    <xf numFmtId="0" fontId="5" fillId="0" borderId="0" xfId="0" applyFont="1"/>
    <xf numFmtId="0" fontId="8" fillId="0" borderId="0" xfId="0" applyFont="1"/>
    <xf numFmtId="0" fontId="5" fillId="0" borderId="0" xfId="0" applyFont="1" applyAlignment="1">
      <alignment horizontal="right"/>
    </xf>
    <xf numFmtId="0" fontId="8" fillId="3" borderId="0" xfId="0" applyFont="1" applyFill="1"/>
    <xf numFmtId="0" fontId="5" fillId="0" borderId="10" xfId="0" applyFont="1" applyBorder="1" applyAlignment="1">
      <alignment horizontal="right"/>
    </xf>
    <xf numFmtId="0" fontId="8" fillId="2" borderId="0" xfId="0" applyFont="1" applyFill="1"/>
    <xf numFmtId="43" fontId="8" fillId="2" borderId="0" xfId="1" applyFont="1" applyFill="1"/>
    <xf numFmtId="0" fontId="8" fillId="0" borderId="0" xfId="0" applyFont="1" applyAlignment="1">
      <alignment horizontal="right"/>
    </xf>
    <xf numFmtId="0" fontId="8" fillId="2" borderId="0" xfId="0" quotePrefix="1" applyFont="1" applyFill="1"/>
    <xf numFmtId="0" fontId="8" fillId="0" borderId="0" xfId="0" applyFont="1" applyAlignment="1">
      <alignment horizontal="left"/>
    </xf>
    <xf numFmtId="44" fontId="8" fillId="0" borderId="0" xfId="2" applyFont="1"/>
    <xf numFmtId="44" fontId="8" fillId="2" borderId="1" xfId="2" applyFont="1" applyFill="1" applyBorder="1"/>
    <xf numFmtId="0" fontId="8" fillId="0" borderId="0" xfId="0" applyFont="1" applyAlignment="1">
      <alignment horizontal="center"/>
    </xf>
    <xf numFmtId="0" fontId="3" fillId="0" borderId="0" xfId="0" applyFont="1"/>
    <xf numFmtId="0" fontId="9" fillId="0" borderId="0" xfId="0" applyFont="1"/>
    <xf numFmtId="166" fontId="8" fillId="0" borderId="0" xfId="0" applyNumberFormat="1" applyFont="1"/>
    <xf numFmtId="9" fontId="8" fillId="0" borderId="0" xfId="0" applyNumberFormat="1" applyFont="1"/>
    <xf numFmtId="0" fontId="8" fillId="0" borderId="1" xfId="0" applyFont="1" applyBorder="1"/>
    <xf numFmtId="0" fontId="8" fillId="0" borderId="3" xfId="0" applyFont="1" applyBorder="1"/>
    <xf numFmtId="0" fontId="8" fillId="0" borderId="4" xfId="0" applyFont="1" applyBorder="1"/>
    <xf numFmtId="43" fontId="8" fillId="0" borderId="5" xfId="1" applyFont="1" applyBorder="1"/>
    <xf numFmtId="43" fontId="8" fillId="0" borderId="2" xfId="1" applyFont="1" applyBorder="1"/>
    <xf numFmtId="43" fontId="8" fillId="0" borderId="3" xfId="1" applyFont="1" applyBorder="1"/>
    <xf numFmtId="43" fontId="8" fillId="0" borderId="4" xfId="1" applyFont="1" applyBorder="1"/>
    <xf numFmtId="43" fontId="8" fillId="0" borderId="0" xfId="1" applyFont="1" applyBorder="1"/>
    <xf numFmtId="43" fontId="8" fillId="0" borderId="6" xfId="1" applyFont="1" applyBorder="1"/>
    <xf numFmtId="43" fontId="8" fillId="0" borderId="7" xfId="1" applyFont="1" applyBorder="1"/>
    <xf numFmtId="43" fontId="8" fillId="0" borderId="8" xfId="1" applyFont="1" applyBorder="1"/>
    <xf numFmtId="43" fontId="8" fillId="0" borderId="9" xfId="1" applyFont="1" applyBorder="1"/>
    <xf numFmtId="0" fontId="8" fillId="0" borderId="0" xfId="0" applyFont="1" applyFill="1"/>
    <xf numFmtId="0" fontId="8" fillId="0" borderId="0" xfId="0" quotePrefix="1" applyFont="1"/>
    <xf numFmtId="43" fontId="8" fillId="0" borderId="0" xfId="1" applyFont="1"/>
    <xf numFmtId="43" fontId="8" fillId="0" borderId="0" xfId="0" applyNumberFormat="1" applyFont="1"/>
    <xf numFmtId="44" fontId="8" fillId="0" borderId="0" xfId="0" applyNumberFormat="1" applyFont="1"/>
    <xf numFmtId="0" fontId="5" fillId="0" borderId="0" xfId="0" applyFont="1" applyAlignment="1">
      <alignment horizontal="center"/>
    </xf>
    <xf numFmtId="44" fontId="8" fillId="3" borderId="0" xfId="2" applyFont="1" applyFill="1"/>
    <xf numFmtId="164" fontId="8" fillId="3" borderId="0" xfId="1" applyNumberFormat="1" applyFont="1" applyFill="1"/>
    <xf numFmtId="43" fontId="8" fillId="6" borderId="0" xfId="0" applyNumberFormat="1" applyFont="1" applyFill="1"/>
    <xf numFmtId="43" fontId="8" fillId="2" borderId="0" xfId="0" applyNumberFormat="1" applyFont="1" applyFill="1"/>
    <xf numFmtId="43" fontId="8" fillId="4" borderId="0" xfId="1" applyFont="1" applyFill="1"/>
    <xf numFmtId="43" fontId="8" fillId="5" borderId="0" xfId="1" applyFont="1" applyFill="1"/>
    <xf numFmtId="164" fontId="8" fillId="0" borderId="0" xfId="0" applyNumberFormat="1" applyFont="1"/>
    <xf numFmtId="165" fontId="8" fillId="0" borderId="0" xfId="0" applyNumberFormat="1" applyFont="1"/>
    <xf numFmtId="0" fontId="5" fillId="3" borderId="15" xfId="0" applyFont="1" applyFill="1" applyBorder="1" applyAlignment="1">
      <alignment horizontal="right"/>
    </xf>
    <xf numFmtId="0" fontId="5" fillId="3" borderId="19" xfId="0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right"/>
    </xf>
    <xf numFmtId="0" fontId="7" fillId="3" borderId="10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12" fillId="3" borderId="0" xfId="0" applyFont="1" applyFill="1" applyAlignment="1"/>
    <xf numFmtId="3" fontId="12" fillId="3" borderId="0" xfId="0" applyNumberFormat="1" applyFont="1" applyFill="1" applyAlignment="1">
      <alignment horizontal="right"/>
    </xf>
    <xf numFmtId="3" fontId="8" fillId="2" borderId="0" xfId="0" applyNumberFormat="1" applyFont="1" applyFill="1"/>
    <xf numFmtId="10" fontId="8" fillId="2" borderId="0" xfId="6" applyNumberFormat="1" applyFont="1" applyFill="1"/>
    <xf numFmtId="0" fontId="12" fillId="3" borderId="0" xfId="0" applyFont="1" applyFill="1" applyAlignment="1">
      <alignment horizontal="right"/>
    </xf>
    <xf numFmtId="0" fontId="12" fillId="3" borderId="10" xfId="0" applyFont="1" applyFill="1" applyBorder="1" applyAlignment="1"/>
    <xf numFmtId="3" fontId="12" fillId="3" borderId="10" xfId="0" applyNumberFormat="1" applyFont="1" applyFill="1" applyBorder="1" applyAlignment="1">
      <alignment horizontal="right"/>
    </xf>
    <xf numFmtId="3" fontId="8" fillId="2" borderId="11" xfId="0" applyNumberFormat="1" applyFont="1" applyFill="1" applyBorder="1"/>
    <xf numFmtId="10" fontId="8" fillId="2" borderId="11" xfId="6" applyNumberFormat="1" applyFont="1" applyFill="1" applyBorder="1"/>
    <xf numFmtId="10" fontId="8" fillId="0" borderId="0" xfId="0" applyNumberFormat="1" applyFont="1"/>
    <xf numFmtId="0" fontId="12" fillId="0" borderId="0" xfId="0" applyFont="1"/>
    <xf numFmtId="0" fontId="7" fillId="0" borderId="12" xfId="0" applyFont="1" applyBorder="1"/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quotePrefix="1" applyNumberFormat="1" applyFont="1" applyAlignment="1">
      <alignment horizontal="center"/>
    </xf>
    <xf numFmtId="0" fontId="3" fillId="8" borderId="0" xfId="0" applyFont="1" applyFill="1"/>
    <xf numFmtId="0" fontId="3" fillId="0" borderId="0" xfId="0" applyFont="1" applyAlignment="1">
      <alignment horizontal="center"/>
    </xf>
    <xf numFmtId="8" fontId="8" fillId="8" borderId="0" xfId="0" applyNumberFormat="1" applyFont="1" applyFill="1"/>
    <xf numFmtId="0" fontId="5" fillId="0" borderId="0" xfId="0" applyFont="1" applyFill="1"/>
    <xf numFmtId="165" fontId="8" fillId="0" borderId="0" xfId="2" applyNumberFormat="1" applyFont="1" applyFill="1"/>
    <xf numFmtId="0" fontId="8" fillId="8" borderId="0" xfId="0" applyFont="1" applyFill="1" applyAlignment="1">
      <alignment horizontal="right"/>
    </xf>
    <xf numFmtId="0" fontId="8" fillId="8" borderId="0" xfId="0" applyFont="1" applyFill="1"/>
    <xf numFmtId="0" fontId="14" fillId="8" borderId="0" xfId="0" applyFont="1" applyFill="1" applyAlignment="1">
      <alignment horizontal="right" vertical="center"/>
    </xf>
    <xf numFmtId="0" fontId="8" fillId="0" borderId="0" xfId="0" applyFont="1" applyAlignment="1"/>
    <xf numFmtId="0" fontId="5" fillId="0" borderId="0" xfId="0" applyFont="1" applyAlignment="1"/>
    <xf numFmtId="0" fontId="13" fillId="0" borderId="0" xfId="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8" fillId="8" borderId="0" xfId="0" applyFont="1" applyFill="1" applyAlignment="1"/>
    <xf numFmtId="165" fontId="8" fillId="8" borderId="0" xfId="2" applyNumberFormat="1" applyFont="1" applyFill="1" applyAlignment="1"/>
    <xf numFmtId="0" fontId="13" fillId="0" borderId="12" xfId="7" applyFont="1" applyFill="1" applyBorder="1" applyAlignment="1">
      <alignment horizontal="center"/>
    </xf>
    <xf numFmtId="7" fontId="8" fillId="8" borderId="0" xfId="0" applyNumberFormat="1" applyFont="1" applyFill="1" applyAlignment="1"/>
    <xf numFmtId="0" fontId="5" fillId="4" borderId="15" xfId="0" applyFont="1" applyFill="1" applyBorder="1" applyAlignment="1">
      <alignment horizontal="left"/>
    </xf>
    <xf numFmtId="0" fontId="8" fillId="4" borderId="16" xfId="0" applyFont="1" applyFill="1" applyBorder="1"/>
    <xf numFmtId="0" fontId="5" fillId="4" borderId="17" xfId="0" applyFont="1" applyFill="1" applyBorder="1" applyAlignment="1">
      <alignment horizontal="right"/>
    </xf>
    <xf numFmtId="166" fontId="8" fillId="4" borderId="18" xfId="2" applyNumberFormat="1" applyFont="1" applyFill="1" applyBorder="1"/>
    <xf numFmtId="0" fontId="5" fillId="4" borderId="17" xfId="0" applyFont="1" applyFill="1" applyBorder="1"/>
    <xf numFmtId="166" fontId="8" fillId="4" borderId="18" xfId="0" applyNumberFormat="1" applyFont="1" applyFill="1" applyBorder="1"/>
    <xf numFmtId="0" fontId="5" fillId="4" borderId="17" xfId="0" applyFont="1" applyFill="1" applyBorder="1" applyAlignment="1">
      <alignment horizontal="left"/>
    </xf>
    <xf numFmtId="0" fontId="8" fillId="4" borderId="18" xfId="0" applyFont="1" applyFill="1" applyBorder="1"/>
    <xf numFmtId="0" fontId="5" fillId="4" borderId="19" xfId="0" applyFont="1" applyFill="1" applyBorder="1" applyAlignment="1">
      <alignment horizontal="right"/>
    </xf>
    <xf numFmtId="0" fontId="8" fillId="4" borderId="20" xfId="0" applyFont="1" applyFill="1" applyBorder="1"/>
    <xf numFmtId="166" fontId="8" fillId="3" borderId="16" xfId="0" applyNumberFormat="1" applyFont="1" applyFill="1" applyBorder="1"/>
    <xf numFmtId="166" fontId="8" fillId="3" borderId="20" xfId="0" applyNumberFormat="1" applyFont="1" applyFill="1" applyBorder="1"/>
    <xf numFmtId="166" fontId="8" fillId="7" borderId="22" xfId="0" applyNumberFormat="1" applyFont="1" applyFill="1" applyBorder="1"/>
    <xf numFmtId="0" fontId="8" fillId="7" borderId="23" xfId="0" applyFont="1" applyFill="1" applyBorder="1" applyAlignment="1">
      <alignment horizontal="right"/>
    </xf>
    <xf numFmtId="0" fontId="5" fillId="0" borderId="8" xfId="0" applyFont="1" applyBorder="1"/>
    <xf numFmtId="165" fontId="8" fillId="0" borderId="24" xfId="0" applyNumberFormat="1" applyFont="1" applyBorder="1"/>
    <xf numFmtId="0" fontId="5" fillId="0" borderId="0" xfId="0" applyFont="1" applyBorder="1"/>
    <xf numFmtId="0" fontId="8" fillId="0" borderId="0" xfId="0" applyFont="1" applyBorder="1"/>
    <xf numFmtId="0" fontId="8" fillId="0" borderId="20" xfId="0" applyFont="1" applyBorder="1"/>
    <xf numFmtId="3" fontId="8" fillId="0" borderId="0" xfId="0" applyNumberFormat="1" applyFont="1"/>
    <xf numFmtId="0" fontId="5" fillId="2" borderId="15" xfId="0" applyFont="1" applyFill="1" applyBorder="1"/>
    <xf numFmtId="165" fontId="8" fillId="2" borderId="11" xfId="0" applyNumberFormat="1" applyFont="1" applyFill="1" applyBorder="1"/>
    <xf numFmtId="165" fontId="8" fillId="2" borderId="16" xfId="0" applyNumberFormat="1" applyFont="1" applyFill="1" applyBorder="1"/>
    <xf numFmtId="0" fontId="5" fillId="2" borderId="17" xfId="0" applyFont="1" applyFill="1" applyBorder="1"/>
    <xf numFmtId="43" fontId="8" fillId="2" borderId="0" xfId="1" applyFont="1" applyFill="1" applyBorder="1"/>
    <xf numFmtId="43" fontId="8" fillId="2" borderId="18" xfId="1" applyFont="1" applyFill="1" applyBorder="1"/>
    <xf numFmtId="0" fontId="5" fillId="2" borderId="19" xfId="0" applyFont="1" applyFill="1" applyBorder="1"/>
    <xf numFmtId="166" fontId="8" fillId="2" borderId="10" xfId="0" applyNumberFormat="1" applyFont="1" applyFill="1" applyBorder="1"/>
    <xf numFmtId="166" fontId="8" fillId="2" borderId="20" xfId="0" applyNumberFormat="1" applyFont="1" applyFill="1" applyBorder="1"/>
    <xf numFmtId="0" fontId="7" fillId="4" borderId="15" xfId="0" applyFont="1" applyFill="1" applyBorder="1" applyAlignment="1">
      <alignment horizontal="right"/>
    </xf>
    <xf numFmtId="0" fontId="3" fillId="4" borderId="16" xfId="0" applyFont="1" applyFill="1" applyBorder="1"/>
    <xf numFmtId="0" fontId="7" fillId="4" borderId="17" xfId="0" applyFont="1" applyFill="1" applyBorder="1" applyAlignment="1">
      <alignment horizontal="right"/>
    </xf>
    <xf numFmtId="6" fontId="3" fillId="4" borderId="18" xfId="0" applyNumberFormat="1" applyFont="1" applyFill="1" applyBorder="1"/>
    <xf numFmtId="0" fontId="7" fillId="4" borderId="19" xfId="0" applyFont="1" applyFill="1" applyBorder="1" applyAlignment="1">
      <alignment horizontal="right"/>
    </xf>
    <xf numFmtId="6" fontId="3" fillId="4" borderId="20" xfId="0" applyNumberFormat="1" applyFont="1" applyFill="1" applyBorder="1"/>
    <xf numFmtId="6" fontId="3" fillId="0" borderId="0" xfId="0" applyNumberFormat="1" applyFont="1"/>
    <xf numFmtId="0" fontId="7" fillId="3" borderId="15" xfId="0" applyFont="1" applyFill="1" applyBorder="1" applyAlignment="1">
      <alignment horizontal="right"/>
    </xf>
    <xf numFmtId="0" fontId="3" fillId="3" borderId="16" xfId="0" applyFont="1" applyFill="1" applyBorder="1"/>
    <xf numFmtId="0" fontId="7" fillId="3" borderId="17" xfId="0" applyFont="1" applyFill="1" applyBorder="1" applyAlignment="1">
      <alignment horizontal="right"/>
    </xf>
    <xf numFmtId="0" fontId="3" fillId="3" borderId="18" xfId="0" applyFont="1" applyFill="1" applyBorder="1"/>
    <xf numFmtId="0" fontId="7" fillId="3" borderId="19" xfId="0" applyFont="1" applyFill="1" applyBorder="1" applyAlignment="1">
      <alignment horizontal="right"/>
    </xf>
    <xf numFmtId="0" fontId="3" fillId="3" borderId="20" xfId="0" applyFont="1" applyFill="1" applyBorder="1"/>
    <xf numFmtId="0" fontId="7" fillId="0" borderId="0" xfId="0" applyFont="1" applyFill="1" applyBorder="1" applyAlignment="1">
      <alignment horizontal="right"/>
    </xf>
    <xf numFmtId="1" fontId="3" fillId="7" borderId="21" xfId="0" applyNumberFormat="1" applyFont="1" applyFill="1" applyBorder="1"/>
    <xf numFmtId="0" fontId="7" fillId="0" borderId="0" xfId="0" applyFont="1" applyAlignment="1">
      <alignment horizontal="right"/>
    </xf>
    <xf numFmtId="6" fontId="3" fillId="7" borderId="21" xfId="0" applyNumberFormat="1" applyFont="1" applyFill="1" applyBorder="1"/>
    <xf numFmtId="0" fontId="5" fillId="0" borderId="0" xfId="0" applyFont="1" applyAlignment="1">
      <alignment horizontal="center"/>
    </xf>
    <xf numFmtId="0" fontId="2" fillId="0" borderId="0" xfId="0" applyFont="1"/>
    <xf numFmtId="165" fontId="8" fillId="0" borderId="0" xfId="2" applyNumberFormat="1" applyFont="1"/>
    <xf numFmtId="165" fontId="8" fillId="8" borderId="0" xfId="0" applyNumberFormat="1" applyFont="1" applyFill="1"/>
    <xf numFmtId="166" fontId="8" fillId="8" borderId="0" xfId="0" applyNumberFormat="1" applyFont="1" applyFill="1"/>
    <xf numFmtId="0" fontId="5" fillId="0" borderId="0" xfId="0" applyFont="1" applyFill="1" applyAlignment="1">
      <alignment horizontal="center"/>
    </xf>
    <xf numFmtId="43" fontId="8" fillId="8" borderId="0" xfId="1" applyFont="1" applyFill="1"/>
    <xf numFmtId="0" fontId="5" fillId="8" borderId="0" xfId="0" applyFont="1" applyFill="1"/>
    <xf numFmtId="2" fontId="8" fillId="8" borderId="0" xfId="0" applyNumberFormat="1" applyFont="1" applyFill="1"/>
    <xf numFmtId="6" fontId="8" fillId="0" borderId="0" xfId="0" applyNumberFormat="1" applyFont="1" applyFill="1"/>
    <xf numFmtId="10" fontId="8" fillId="0" borderId="0" xfId="0" applyNumberFormat="1" applyFont="1" applyFill="1"/>
    <xf numFmtId="9" fontId="8" fillId="0" borderId="0" xfId="0" applyNumberFormat="1" applyFont="1" applyFill="1"/>
    <xf numFmtId="0" fontId="13" fillId="0" borderId="12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166" fontId="8" fillId="0" borderId="0" xfId="0" applyNumberFormat="1" applyFont="1" applyFill="1" applyAlignment="1">
      <alignment horizontal="right"/>
    </xf>
    <xf numFmtId="0" fontId="8" fillId="0" borderId="0" xfId="0" applyFont="1" applyFill="1" applyAlignment="1"/>
    <xf numFmtId="0" fontId="14" fillId="0" borderId="14" xfId="7" applyFont="1" applyFill="1" applyBorder="1" applyAlignment="1">
      <alignment horizontal="right"/>
    </xf>
    <xf numFmtId="0" fontId="14" fillId="0" borderId="14" xfId="7" applyFont="1" applyFill="1" applyBorder="1" applyAlignment="1"/>
    <xf numFmtId="168" fontId="14" fillId="0" borderId="14" xfId="7" applyNumberFormat="1" applyFont="1" applyFill="1" applyBorder="1" applyAlignment="1">
      <alignment horizontal="right"/>
    </xf>
    <xf numFmtId="167" fontId="14" fillId="0" borderId="14" xfId="7" applyNumberFormat="1" applyFont="1" applyFill="1" applyBorder="1" applyAlignment="1">
      <alignment horizontal="right"/>
    </xf>
    <xf numFmtId="0" fontId="14" fillId="0" borderId="13" xfId="7" applyFont="1" applyFill="1" applyBorder="1" applyAlignment="1">
      <alignment horizontal="right"/>
    </xf>
    <xf numFmtId="0" fontId="14" fillId="0" borderId="13" xfId="7" applyFont="1" applyFill="1" applyBorder="1" applyAlignment="1"/>
    <xf numFmtId="168" fontId="14" fillId="0" borderId="13" xfId="7" applyNumberFormat="1" applyFont="1" applyFill="1" applyBorder="1" applyAlignment="1">
      <alignment horizontal="right"/>
    </xf>
    <xf numFmtId="167" fontId="14" fillId="0" borderId="13" xfId="7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8" borderId="0" xfId="0" applyFont="1" applyFill="1"/>
  </cellXfs>
  <cellStyles count="8">
    <cellStyle name="Comma" xfId="1" builtinId="3"/>
    <cellStyle name="Comma 2" xfId="3"/>
    <cellStyle name="Currency" xfId="2" builtinId="4"/>
    <cellStyle name="Currency 2" xfId="4"/>
    <cellStyle name="Normal" xfId="0" builtinId="0"/>
    <cellStyle name="Normal 2" xfId="5"/>
    <cellStyle name="Normal_Sheet1" xfId="7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theme" Target="theme/theme1.xml"/><Relationship Id="rId27" Type="http://schemas.openxmlformats.org/officeDocument/2006/relationships/styles" Target="styles.xml"/><Relationship Id="rId28" Type="http://schemas.openxmlformats.org/officeDocument/2006/relationships/sharedStrings" Target="sharedStrings.xml"/><Relationship Id="rId29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SAMPLE SKETCHES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b&lt;0</c:v>
          </c:tx>
          <c:marker>
            <c:symbol val="none"/>
          </c:marker>
          <c:xVal>
            <c:numRef>
              <c:f>'1.9'!$E$4:$E$13</c:f>
              <c:numCache>
                <c:formatCode>_(* #,##0.00_);_(* \(#,##0.00\);_(* "-"??_);_(@_)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1.0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2.0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'1.9'!$F$4:$F$13</c:f>
              <c:numCache>
                <c:formatCode>_(* #,##0.00_);_(* \(#,##0.00\);_(* "-"??_);_(@_)</c:formatCode>
                <c:ptCount val="10"/>
                <c:pt idx="0">
                  <c:v>14.14213562373095</c:v>
                </c:pt>
                <c:pt idx="1">
                  <c:v>11.89207115002721</c:v>
                </c:pt>
                <c:pt idx="2">
                  <c:v>10.74569931823542</c:v>
                </c:pt>
                <c:pt idx="3">
                  <c:v>10.0</c:v>
                </c:pt>
                <c:pt idx="4">
                  <c:v>9.457416090031758</c:v>
                </c:pt>
                <c:pt idx="5">
                  <c:v>9.036020036098447</c:v>
                </c:pt>
                <c:pt idx="6">
                  <c:v>8.694417438899828</c:v>
                </c:pt>
                <c:pt idx="7">
                  <c:v>8.408964152537147</c:v>
                </c:pt>
                <c:pt idx="8">
                  <c:v>8.16496580927726</c:v>
                </c:pt>
                <c:pt idx="9">
                  <c:v>7.952707287670506</c:v>
                </c:pt>
              </c:numCache>
            </c:numRef>
          </c:yVal>
          <c:smooth val="1"/>
        </c:ser>
        <c:ser>
          <c:idx val="1"/>
          <c:order val="1"/>
          <c:tx>
            <c:v>b=0</c:v>
          </c:tx>
          <c:marker>
            <c:symbol val="none"/>
          </c:marker>
          <c:xVal>
            <c:numRef>
              <c:f>'1.9'!$E$4:$E$13</c:f>
              <c:numCache>
                <c:formatCode>_(* #,##0.00_);_(* \(#,##0.00\);_(* "-"??_);_(@_)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1.0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2.0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'1.9'!$G$4:$G$13</c:f>
              <c:numCache>
                <c:formatCode>_(* #,##0.00_);_(* \(#,##0.00\);_(* "-"??_);_(@_)</c:formatCode>
                <c:ptCount val="10"/>
                <c:pt idx="0">
                  <c:v>10.0</c:v>
                </c:pt>
                <c:pt idx="1">
                  <c:v>10.0</c:v>
                </c:pt>
                <c:pt idx="2">
                  <c:v>10.0</c:v>
                </c:pt>
                <c:pt idx="3">
                  <c:v>10.0</c:v>
                </c:pt>
                <c:pt idx="4">
                  <c:v>10.0</c:v>
                </c:pt>
                <c:pt idx="5">
                  <c:v>10.0</c:v>
                </c:pt>
                <c:pt idx="6">
                  <c:v>10.0</c:v>
                </c:pt>
                <c:pt idx="7">
                  <c:v>10.0</c:v>
                </c:pt>
                <c:pt idx="8">
                  <c:v>10.0</c:v>
                </c:pt>
                <c:pt idx="9">
                  <c:v>10.0</c:v>
                </c:pt>
              </c:numCache>
            </c:numRef>
          </c:yVal>
          <c:smooth val="1"/>
        </c:ser>
        <c:ser>
          <c:idx val="2"/>
          <c:order val="2"/>
          <c:tx>
            <c:v>0&lt;b&lt;1</c:v>
          </c:tx>
          <c:marker>
            <c:symbol val="none"/>
          </c:marker>
          <c:xVal>
            <c:numRef>
              <c:f>'1.9'!$E$4:$E$13</c:f>
              <c:numCache>
                <c:formatCode>_(* #,##0.00_);_(* \(#,##0.00\);_(* "-"??_);_(@_)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1.0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2.0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'1.9'!$H$4:$H$13</c:f>
              <c:numCache>
                <c:formatCode>_(* #,##0.00_);_(* \(#,##0.00\);_(* "-"??_);_(@_)</c:formatCode>
                <c:ptCount val="10"/>
                <c:pt idx="0">
                  <c:v>5.0</c:v>
                </c:pt>
                <c:pt idx="1">
                  <c:v>7.071067811865475</c:v>
                </c:pt>
                <c:pt idx="2">
                  <c:v>8.660254037844385</c:v>
                </c:pt>
                <c:pt idx="3">
                  <c:v>10.0</c:v>
                </c:pt>
                <c:pt idx="4">
                  <c:v>11.18033988749895</c:v>
                </c:pt>
                <c:pt idx="5">
                  <c:v>12.24744871391589</c:v>
                </c:pt>
                <c:pt idx="6">
                  <c:v>13.22875655532295</c:v>
                </c:pt>
                <c:pt idx="7">
                  <c:v>14.14213562373095</c:v>
                </c:pt>
                <c:pt idx="8">
                  <c:v>15.0</c:v>
                </c:pt>
                <c:pt idx="9">
                  <c:v>15.8113883008419</c:v>
                </c:pt>
              </c:numCache>
            </c:numRef>
          </c:yVal>
          <c:smooth val="1"/>
        </c:ser>
        <c:ser>
          <c:idx val="3"/>
          <c:order val="3"/>
          <c:tx>
            <c:v>b=1</c:v>
          </c:tx>
          <c:marker>
            <c:symbol val="none"/>
          </c:marker>
          <c:xVal>
            <c:numRef>
              <c:f>'1.9'!$E$4:$E$13</c:f>
              <c:numCache>
                <c:formatCode>_(* #,##0.00_);_(* \(#,##0.00\);_(* "-"??_);_(@_)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1.0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2.0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'1.9'!$I$4:$I$13</c:f>
              <c:numCache>
                <c:formatCode>_(* #,##0.00_);_(* \(#,##0.00\);_(* "-"??_);_(@_)</c:formatCode>
                <c:ptCount val="10"/>
                <c:pt idx="0">
                  <c:v>2.5</c:v>
                </c:pt>
                <c:pt idx="1">
                  <c:v>5.0</c:v>
                </c:pt>
                <c:pt idx="2">
                  <c:v>7.5</c:v>
                </c:pt>
                <c:pt idx="3">
                  <c:v>10.0</c:v>
                </c:pt>
                <c:pt idx="4">
                  <c:v>12.5</c:v>
                </c:pt>
                <c:pt idx="5">
                  <c:v>15.0</c:v>
                </c:pt>
                <c:pt idx="6">
                  <c:v>17.5</c:v>
                </c:pt>
                <c:pt idx="7">
                  <c:v>20.0</c:v>
                </c:pt>
                <c:pt idx="8">
                  <c:v>22.5</c:v>
                </c:pt>
                <c:pt idx="9">
                  <c:v>25.0</c:v>
                </c:pt>
              </c:numCache>
            </c:numRef>
          </c:yVal>
          <c:smooth val="1"/>
        </c:ser>
        <c:ser>
          <c:idx val="4"/>
          <c:order val="4"/>
          <c:tx>
            <c:v>b&gt;1</c:v>
          </c:tx>
          <c:marker>
            <c:symbol val="none"/>
          </c:marker>
          <c:xVal>
            <c:numRef>
              <c:f>'1.9'!$E$4:$E$13</c:f>
              <c:numCache>
                <c:formatCode>_(* #,##0.00_);_(* \(#,##0.00\);_(* "-"??_);_(@_)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1.0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2.0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'1.9'!$J$4:$J$13</c:f>
              <c:numCache>
                <c:formatCode>_(* #,##0.00_);_(* \(#,##0.00\);_(* "-"??_);_(@_)</c:formatCode>
                <c:ptCount val="10"/>
                <c:pt idx="0">
                  <c:v>1.25</c:v>
                </c:pt>
                <c:pt idx="1">
                  <c:v>3.535533905932738</c:v>
                </c:pt>
                <c:pt idx="2">
                  <c:v>6.49519052838329</c:v>
                </c:pt>
                <c:pt idx="3">
                  <c:v>10.0</c:v>
                </c:pt>
                <c:pt idx="4">
                  <c:v>13.97542485937369</c:v>
                </c:pt>
                <c:pt idx="5">
                  <c:v>18.37117307087384</c:v>
                </c:pt>
                <c:pt idx="6">
                  <c:v>23.15032397181517</c:v>
                </c:pt>
                <c:pt idx="7">
                  <c:v>28.2842712474619</c:v>
                </c:pt>
                <c:pt idx="8">
                  <c:v>33.75</c:v>
                </c:pt>
                <c:pt idx="9">
                  <c:v>39.52847075210474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62087248"/>
        <c:axId val="-562085472"/>
      </c:scatterChart>
      <c:valAx>
        <c:axId val="-562087248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out"/>
        <c:minorTickMark val="none"/>
        <c:tickLblPos val="nextTo"/>
        <c:crossAx val="-562085472"/>
        <c:crosses val="autoZero"/>
        <c:crossBetween val="midCat"/>
      </c:valAx>
      <c:valAx>
        <c:axId val="-56208547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-5620872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'A1.4'!$B$10:$B$26</c:f>
              <c:numCache>
                <c:formatCode>_(* #,##0.00_);_(* \(#,##0.00\);_(* "-"??_);_(@_)</c:formatCode>
                <c:ptCount val="17"/>
                <c:pt idx="0">
                  <c:v>5.031939418537677</c:v>
                </c:pt>
                <c:pt idx="1">
                  <c:v>117.1623057811355</c:v>
                </c:pt>
                <c:pt idx="2">
                  <c:v>790.5824487564074</c:v>
                </c:pt>
                <c:pt idx="3">
                  <c:v>2516.852014218475</c:v>
                </c:pt>
                <c:pt idx="4">
                  <c:v>5080.287910142481</c:v>
                </c:pt>
                <c:pt idx="5">
                  <c:v>7778.552073855785</c:v>
                </c:pt>
                <c:pt idx="6">
                  <c:v>10071.94316806691</c:v>
                </c:pt>
                <c:pt idx="7">
                  <c:v>11780.80054299295</c:v>
                </c:pt>
                <c:pt idx="8">
                  <c:v>12955.56065242971</c:v>
                </c:pt>
                <c:pt idx="9">
                  <c:v>13724.44059962456</c:v>
                </c:pt>
                <c:pt idx="10">
                  <c:v>14212.85199160089</c:v>
                </c:pt>
                <c:pt idx="11">
                  <c:v>14517.51758550016</c:v>
                </c:pt>
                <c:pt idx="12">
                  <c:v>14705.47956261698</c:v>
                </c:pt>
                <c:pt idx="13">
                  <c:v>14820.6679182231</c:v>
                </c:pt>
                <c:pt idx="14">
                  <c:v>14890.9723291184</c:v>
                </c:pt>
                <c:pt idx="15">
                  <c:v>14933.77649237251</c:v>
                </c:pt>
                <c:pt idx="16">
                  <c:v>14959.79845324625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09180128"/>
        <c:axId val="-509177808"/>
      </c:lineChart>
      <c:catAx>
        <c:axId val="-509180128"/>
        <c:scaling>
          <c:orientation val="minMax"/>
        </c:scaling>
        <c:delete val="1"/>
        <c:axPos val="b"/>
        <c:majorTickMark val="none"/>
        <c:minorTickMark val="none"/>
        <c:tickLblPos val="nextTo"/>
        <c:crossAx val="-509177808"/>
        <c:crosses val="autoZero"/>
        <c:auto val="1"/>
        <c:lblAlgn val="ctr"/>
        <c:lblOffset val="100"/>
        <c:noMultiLvlLbl val="0"/>
      </c:catAx>
      <c:valAx>
        <c:axId val="-50917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09180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238124</xdr:colOff>
      <xdr:row>1</xdr:row>
      <xdr:rowOff>104775</xdr:rowOff>
    </xdr:from>
    <xdr:to>
      <xdr:col>19</xdr:col>
      <xdr:colOff>304799</xdr:colOff>
      <xdr:row>24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660400</xdr:colOff>
      <xdr:row>8</xdr:row>
      <xdr:rowOff>44450</xdr:rowOff>
    </xdr:from>
    <xdr:to>
      <xdr:col>11</xdr:col>
      <xdr:colOff>571500</xdr:colOff>
      <xdr:row>27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25400</xdr:colOff>
      <xdr:row>4</xdr:row>
      <xdr:rowOff>38100</xdr:rowOff>
    </xdr:from>
    <xdr:to>
      <xdr:col>14</xdr:col>
      <xdr:colOff>304800</xdr:colOff>
      <xdr:row>27</xdr:row>
      <xdr:rowOff>139700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78700" y="850900"/>
          <a:ext cx="7708900" cy="477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tabSelected="1" workbookViewId="0"/>
  </sheetViews>
  <sheetFormatPr baseColWidth="10" defaultColWidth="8.83203125" defaultRowHeight="16" x14ac:dyDescent="0.2"/>
  <cols>
    <col min="1" max="16384" width="8.83203125" style="4"/>
  </cols>
  <sheetData>
    <row r="1" spans="1:1" x14ac:dyDescent="0.2">
      <c r="A1" s="3" t="s">
        <v>50</v>
      </c>
    </row>
    <row r="3" spans="1:1" x14ac:dyDescent="0.2">
      <c r="A3" s="4" t="s">
        <v>43</v>
      </c>
    </row>
    <row r="4" spans="1:1" x14ac:dyDescent="0.2">
      <c r="A4" s="4" t="s">
        <v>44</v>
      </c>
    </row>
    <row r="5" spans="1:1" x14ac:dyDescent="0.2">
      <c r="A5" s="4" t="s">
        <v>45</v>
      </c>
    </row>
    <row r="6" spans="1:1" x14ac:dyDescent="0.2">
      <c r="A6" s="4" t="s">
        <v>46</v>
      </c>
    </row>
    <row r="8" spans="1:1" x14ac:dyDescent="0.2">
      <c r="A8" s="4" t="s">
        <v>47</v>
      </c>
    </row>
  </sheetData>
  <customSheetViews>
    <customSheetView guid="{AF9B499A-CFA5-4E76-B3DA-A02CB2931756}">
      <selection activeCell="H14" sqref="H1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/>
  </sheetViews>
  <sheetFormatPr baseColWidth="10" defaultColWidth="8.83203125" defaultRowHeight="16" x14ac:dyDescent="0.2"/>
  <cols>
    <col min="1" max="1" width="8.83203125" style="4"/>
    <col min="2" max="2" width="15" style="4" bestFit="1" customWidth="1"/>
    <col min="3" max="3" width="12.5" style="4" bestFit="1" customWidth="1"/>
    <col min="4" max="4" width="11.5" style="4" bestFit="1" customWidth="1"/>
    <col min="5" max="16384" width="8.83203125" style="4"/>
  </cols>
  <sheetData>
    <row r="1" spans="1:3" x14ac:dyDescent="0.2">
      <c r="A1" s="3" t="s">
        <v>95</v>
      </c>
    </row>
    <row r="3" spans="1:3" x14ac:dyDescent="0.2">
      <c r="A3" s="3" t="s">
        <v>89</v>
      </c>
    </row>
    <row r="4" spans="1:3" x14ac:dyDescent="0.2">
      <c r="A4" s="3"/>
      <c r="B4" s="4" t="s">
        <v>120</v>
      </c>
    </row>
    <row r="5" spans="1:3" x14ac:dyDescent="0.2">
      <c r="A5" s="3"/>
    </row>
    <row r="6" spans="1:3" x14ac:dyDescent="0.2">
      <c r="A6" s="3" t="s">
        <v>90</v>
      </c>
    </row>
    <row r="7" spans="1:3" x14ac:dyDescent="0.2">
      <c r="A7" s="3"/>
      <c r="B7" s="4" t="s">
        <v>94</v>
      </c>
    </row>
    <row r="8" spans="1:3" x14ac:dyDescent="0.2">
      <c r="A8" s="3"/>
      <c r="B8" s="33" t="s">
        <v>121</v>
      </c>
    </row>
    <row r="9" spans="1:3" x14ac:dyDescent="0.2">
      <c r="A9" s="3"/>
    </row>
    <row r="10" spans="1:3" x14ac:dyDescent="0.2">
      <c r="A10" s="3" t="s">
        <v>91</v>
      </c>
    </row>
    <row r="11" spans="1:3" x14ac:dyDescent="0.2">
      <c r="A11" s="3"/>
      <c r="B11" s="4" t="s">
        <v>122</v>
      </c>
    </row>
    <row r="12" spans="1:3" x14ac:dyDescent="0.2">
      <c r="A12" s="3"/>
    </row>
    <row r="13" spans="1:3" x14ac:dyDescent="0.2">
      <c r="A13" s="3" t="s">
        <v>92</v>
      </c>
    </row>
    <row r="14" spans="1:3" x14ac:dyDescent="0.2">
      <c r="A14" s="3"/>
      <c r="B14" s="4" t="s">
        <v>123</v>
      </c>
      <c r="C14" s="33"/>
    </row>
    <row r="15" spans="1:3" x14ac:dyDescent="0.2">
      <c r="A15" s="3"/>
      <c r="C15" s="33"/>
    </row>
    <row r="16" spans="1:3" x14ac:dyDescent="0.2">
      <c r="A16" s="3" t="s">
        <v>93</v>
      </c>
    </row>
    <row r="17" spans="2:4" x14ac:dyDescent="0.2">
      <c r="B17" s="4" t="s">
        <v>38</v>
      </c>
    </row>
    <row r="18" spans="2:4" x14ac:dyDescent="0.2">
      <c r="B18" s="33" t="s">
        <v>124</v>
      </c>
    </row>
    <row r="19" spans="2:4" x14ac:dyDescent="0.2">
      <c r="B19" s="33" t="s">
        <v>125</v>
      </c>
    </row>
    <row r="21" spans="2:4" x14ac:dyDescent="0.2">
      <c r="B21" s="34"/>
    </row>
    <row r="22" spans="2:4" x14ac:dyDescent="0.2">
      <c r="B22" s="34"/>
    </row>
    <row r="23" spans="2:4" x14ac:dyDescent="0.2">
      <c r="D23" s="35"/>
    </row>
    <row r="25" spans="2:4" x14ac:dyDescent="0.2">
      <c r="C25" s="13"/>
    </row>
    <row r="27" spans="2:4" x14ac:dyDescent="0.2">
      <c r="C27" s="13"/>
    </row>
    <row r="28" spans="2:4" x14ac:dyDescent="0.2">
      <c r="C28" s="36"/>
    </row>
    <row r="29" spans="2:4" x14ac:dyDescent="0.2">
      <c r="C29" s="36"/>
    </row>
  </sheetData>
  <customSheetViews>
    <customSheetView guid="{AF9B499A-CFA5-4E76-B3DA-A02CB2931756}">
      <selection activeCell="H6" sqref="H6"/>
      <pageMargins left="0.7" right="0.7" top="0.75" bottom="0.75" header="0.3" footer="0.3"/>
    </customSheetView>
    <customSheetView guid="{84AD1FC9-1D54-4CF5-8568-C97DE11A5CD2}">
      <pageMargins left="0.7" right="0.7" top="0.75" bottom="0.75" header="0.3" footer="0.3"/>
    </customSheetView>
    <customSheetView guid="{2FF1250F-24F0-45EB-B0FF-E663C210EB95}">
      <pageMargins left="0.7" right="0.7" top="0.75" bottom="0.75" header="0.3" footer="0.3"/>
    </customSheetView>
    <customSheetView guid="{56AF3BB6-958F-BF40-8163-F038875C20D8}">
      <pageMargins left="0.7" right="0.7" top="0.75" bottom="0.75" header="0.3" footer="0.3"/>
    </customSheetView>
    <customSheetView guid="{7ED021FD-8147-EA42-B54F-8D7F27448679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RowHeight="16" x14ac:dyDescent="0.2"/>
  <cols>
    <col min="1" max="16384" width="10.83203125" style="4"/>
  </cols>
  <sheetData>
    <row r="1" spans="1:1" x14ac:dyDescent="0.2">
      <c r="A1" s="3" t="s">
        <v>126</v>
      </c>
    </row>
    <row r="3" spans="1:1" x14ac:dyDescent="0.2">
      <c r="A3" s="4" t="s">
        <v>127</v>
      </c>
    </row>
    <row r="4" spans="1:1" x14ac:dyDescent="0.2">
      <c r="A4" s="4" t="s">
        <v>128</v>
      </c>
    </row>
    <row r="5" spans="1:1" x14ac:dyDescent="0.2">
      <c r="A5" s="4" t="s">
        <v>129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RowHeight="16" x14ac:dyDescent="0.2"/>
  <cols>
    <col min="1" max="16384" width="10.83203125" style="4"/>
  </cols>
  <sheetData>
    <row r="1" spans="1:1" x14ac:dyDescent="0.2">
      <c r="A1" s="3" t="s">
        <v>253</v>
      </c>
    </row>
    <row r="3" spans="1:1" x14ac:dyDescent="0.2">
      <c r="A3" s="4" t="s">
        <v>254</v>
      </c>
    </row>
    <row r="4" spans="1:1" x14ac:dyDescent="0.2">
      <c r="A4" s="4" t="s">
        <v>255</v>
      </c>
    </row>
    <row r="5" spans="1:1" x14ac:dyDescent="0.2">
      <c r="A5" s="4" t="s">
        <v>256</v>
      </c>
    </row>
    <row r="6" spans="1:1" x14ac:dyDescent="0.2">
      <c r="A6" s="4" t="s">
        <v>257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D37" sqref="D37"/>
    </sheetView>
  </sheetViews>
  <sheetFormatPr baseColWidth="10" defaultRowHeight="16" x14ac:dyDescent="0.2"/>
  <cols>
    <col min="1" max="1" width="11" style="133" bestFit="1" customWidth="1"/>
    <col min="2" max="2" width="11.1640625" style="133" bestFit="1" customWidth="1"/>
    <col min="3" max="3" width="10.83203125" style="133"/>
    <col min="4" max="4" width="11" style="133" bestFit="1" customWidth="1"/>
    <col min="5" max="5" width="11.1640625" style="133" bestFit="1" customWidth="1"/>
    <col min="6" max="16384" width="10.83203125" style="133"/>
  </cols>
  <sheetData>
    <row r="1" spans="1:5" x14ac:dyDescent="0.2">
      <c r="A1" s="3" t="s">
        <v>260</v>
      </c>
      <c r="B1" s="4"/>
      <c r="C1" s="4"/>
      <c r="D1" s="4"/>
      <c r="E1" s="4"/>
    </row>
    <row r="2" spans="1:5" x14ac:dyDescent="0.2">
      <c r="A2" s="4"/>
      <c r="B2" s="4"/>
      <c r="C2" s="4"/>
      <c r="D2" s="4"/>
      <c r="E2" s="4"/>
    </row>
    <row r="3" spans="1:5" x14ac:dyDescent="0.2">
      <c r="A3" s="3" t="s">
        <v>261</v>
      </c>
      <c r="B3" s="4"/>
      <c r="C3" s="4"/>
      <c r="D3" s="3" t="s">
        <v>262</v>
      </c>
      <c r="E3" s="4"/>
    </row>
    <row r="4" spans="1:5" x14ac:dyDescent="0.2">
      <c r="A4" s="132" t="s">
        <v>25</v>
      </c>
      <c r="B4" s="105">
        <v>20000</v>
      </c>
      <c r="C4" s="4"/>
      <c r="D4" s="132" t="s">
        <v>76</v>
      </c>
      <c r="E4" s="105">
        <v>20000</v>
      </c>
    </row>
    <row r="5" spans="1:5" x14ac:dyDescent="0.2">
      <c r="A5" s="132" t="s">
        <v>26</v>
      </c>
      <c r="B5" s="4">
        <v>10</v>
      </c>
      <c r="C5" s="4"/>
      <c r="D5" s="132" t="s">
        <v>39</v>
      </c>
      <c r="E5" s="4">
        <v>1.1138199999999999E-2</v>
      </c>
    </row>
    <row r="6" spans="1:5" x14ac:dyDescent="0.2">
      <c r="A6" s="132" t="s">
        <v>110</v>
      </c>
      <c r="B6" s="134">
        <v>80</v>
      </c>
      <c r="C6" s="4"/>
      <c r="D6" s="132" t="s">
        <v>110</v>
      </c>
      <c r="E6" s="134">
        <v>80</v>
      </c>
    </row>
    <row r="7" spans="1:5" x14ac:dyDescent="0.2">
      <c r="C7" s="4"/>
    </row>
    <row r="8" spans="1:5" x14ac:dyDescent="0.2">
      <c r="A8" s="132" t="s">
        <v>263</v>
      </c>
      <c r="B8" s="135">
        <f>$B$4 - $B$5*B6</f>
        <v>19200</v>
      </c>
      <c r="C8" s="4"/>
      <c r="D8" s="132" t="s">
        <v>263</v>
      </c>
      <c r="E8" s="135">
        <f>$E$4*E6^-$E$5</f>
        <v>19047.281433603661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/>
  </sheetViews>
  <sheetFormatPr baseColWidth="10" defaultColWidth="8.83203125" defaultRowHeight="16" x14ac:dyDescent="0.2"/>
  <cols>
    <col min="1" max="1" width="30.83203125" style="4" customWidth="1"/>
    <col min="2" max="4" width="8.83203125" style="4"/>
    <col min="5" max="5" width="21.1640625" style="4" customWidth="1"/>
    <col min="6" max="6" width="14.6640625" style="4" customWidth="1"/>
    <col min="7" max="16384" width="8.83203125" style="4"/>
  </cols>
  <sheetData>
    <row r="1" spans="1:6" x14ac:dyDescent="0.2">
      <c r="A1" s="3" t="s">
        <v>144</v>
      </c>
    </row>
    <row r="2" spans="1:6" x14ac:dyDescent="0.2">
      <c r="A2" s="3"/>
    </row>
    <row r="3" spans="1:6" x14ac:dyDescent="0.2">
      <c r="A3" s="48" t="s">
        <v>143</v>
      </c>
      <c r="B3" s="49"/>
      <c r="C3" s="49"/>
    </row>
    <row r="4" spans="1:6" x14ac:dyDescent="0.2">
      <c r="A4" s="50"/>
      <c r="B4" s="51"/>
      <c r="C4" s="51"/>
      <c r="E4" s="157" t="s">
        <v>142</v>
      </c>
      <c r="F4" s="157"/>
    </row>
    <row r="5" spans="1:6" x14ac:dyDescent="0.2">
      <c r="A5" s="52" t="s">
        <v>141</v>
      </c>
      <c r="B5" s="53">
        <v>2000</v>
      </c>
      <c r="C5" s="53">
        <v>2010</v>
      </c>
      <c r="E5" s="54" t="s">
        <v>140</v>
      </c>
      <c r="F5" s="54" t="s">
        <v>139</v>
      </c>
    </row>
    <row r="6" spans="1:6" x14ac:dyDescent="0.2">
      <c r="A6" s="55" t="s">
        <v>138</v>
      </c>
      <c r="B6" s="56">
        <v>3241</v>
      </c>
      <c r="C6" s="56">
        <v>5301</v>
      </c>
      <c r="E6" s="57">
        <f t="shared" ref="E6:E14" si="0">C6-B6</f>
        <v>2060</v>
      </c>
      <c r="F6" s="58">
        <f t="shared" ref="F6:F14" si="1">E6/B6</f>
        <v>0.63560629435359461</v>
      </c>
    </row>
    <row r="7" spans="1:6" x14ac:dyDescent="0.2">
      <c r="A7" s="55" t="s">
        <v>137</v>
      </c>
      <c r="B7" s="59">
        <v>184</v>
      </c>
      <c r="C7" s="59">
        <v>218</v>
      </c>
      <c r="E7" s="57">
        <f t="shared" si="0"/>
        <v>34</v>
      </c>
      <c r="F7" s="58">
        <f t="shared" si="1"/>
        <v>0.18478260869565216</v>
      </c>
    </row>
    <row r="8" spans="1:6" x14ac:dyDescent="0.2">
      <c r="A8" s="55" t="s">
        <v>136</v>
      </c>
      <c r="B8" s="56">
        <v>2408</v>
      </c>
      <c r="C8" s="56">
        <v>4308</v>
      </c>
      <c r="E8" s="57">
        <f t="shared" si="0"/>
        <v>1900</v>
      </c>
      <c r="F8" s="58">
        <f t="shared" si="1"/>
        <v>0.78903654485049834</v>
      </c>
    </row>
    <row r="9" spans="1:6" x14ac:dyDescent="0.2">
      <c r="A9" s="55" t="s">
        <v>135</v>
      </c>
      <c r="B9" s="56">
        <v>2318</v>
      </c>
      <c r="C9" s="56">
        <v>4213</v>
      </c>
      <c r="E9" s="57">
        <f t="shared" si="0"/>
        <v>1895</v>
      </c>
      <c r="F9" s="58">
        <f t="shared" si="1"/>
        <v>0.81751509922346854</v>
      </c>
    </row>
    <row r="10" spans="1:6" x14ac:dyDescent="0.2">
      <c r="A10" s="55" t="s">
        <v>134</v>
      </c>
      <c r="B10" s="59">
        <v>89</v>
      </c>
      <c r="C10" s="59">
        <v>95</v>
      </c>
      <c r="E10" s="57">
        <f t="shared" si="0"/>
        <v>6</v>
      </c>
      <c r="F10" s="58">
        <f t="shared" si="1"/>
        <v>6.741573033707865E-2</v>
      </c>
    </row>
    <row r="11" spans="1:6" x14ac:dyDescent="0.2">
      <c r="A11" s="55" t="s">
        <v>133</v>
      </c>
      <c r="B11" s="59">
        <v>239</v>
      </c>
      <c r="C11" s="59">
        <v>283</v>
      </c>
      <c r="E11" s="57">
        <f t="shared" si="0"/>
        <v>44</v>
      </c>
      <c r="F11" s="58">
        <f t="shared" si="1"/>
        <v>0.18410041841004185</v>
      </c>
    </row>
    <row r="12" spans="1:6" x14ac:dyDescent="0.2">
      <c r="A12" s="55" t="s">
        <v>132</v>
      </c>
      <c r="B12" s="59">
        <v>410</v>
      </c>
      <c r="C12" s="59">
        <v>492</v>
      </c>
      <c r="E12" s="57">
        <f t="shared" si="0"/>
        <v>82</v>
      </c>
      <c r="F12" s="58">
        <f t="shared" si="1"/>
        <v>0.2</v>
      </c>
    </row>
    <row r="13" spans="1:6" x14ac:dyDescent="0.2">
      <c r="A13" s="60" t="s">
        <v>131</v>
      </c>
      <c r="B13" s="61">
        <v>1465</v>
      </c>
      <c r="C13" s="61">
        <v>1603</v>
      </c>
      <c r="E13" s="57">
        <f t="shared" si="0"/>
        <v>138</v>
      </c>
      <c r="F13" s="58">
        <f t="shared" si="1"/>
        <v>9.4197952218430039E-2</v>
      </c>
    </row>
    <row r="14" spans="1:6" x14ac:dyDescent="0.2">
      <c r="A14" s="55" t="s">
        <v>130</v>
      </c>
      <c r="B14" s="56">
        <v>145571</v>
      </c>
      <c r="C14" s="56">
        <v>167754</v>
      </c>
      <c r="E14" s="62">
        <f t="shared" si="0"/>
        <v>22183</v>
      </c>
      <c r="F14" s="63">
        <f t="shared" si="1"/>
        <v>0.15238612086198489</v>
      </c>
    </row>
  </sheetData>
  <mergeCells count="1">
    <mergeCell ref="E4:F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baseColWidth="10" defaultRowHeight="16" x14ac:dyDescent="0.2"/>
  <cols>
    <col min="1" max="1" width="15.1640625" style="4" bestFit="1" customWidth="1"/>
    <col min="2" max="2" width="23.83203125" style="4" bestFit="1" customWidth="1"/>
    <col min="3" max="16384" width="10.83203125" style="4"/>
  </cols>
  <sheetData>
    <row r="1" spans="1:2" x14ac:dyDescent="0.2">
      <c r="A1" s="3" t="s">
        <v>191</v>
      </c>
    </row>
    <row r="2" spans="1:2" x14ac:dyDescent="0.2">
      <c r="A2" s="3"/>
    </row>
    <row r="3" spans="1:2" x14ac:dyDescent="0.2">
      <c r="A3" s="3" t="s">
        <v>192</v>
      </c>
      <c r="B3" s="3" t="s">
        <v>193</v>
      </c>
    </row>
    <row r="4" spans="1:2" x14ac:dyDescent="0.2">
      <c r="A4" s="45">
        <v>60000</v>
      </c>
      <c r="B4" s="64">
        <v>2.5000000000000001E-2</v>
      </c>
    </row>
    <row r="6" spans="1:2" x14ac:dyDescent="0.2">
      <c r="A6" s="4">
        <v>1</v>
      </c>
      <c r="B6" s="45">
        <f>A4</f>
        <v>60000</v>
      </c>
    </row>
    <row r="7" spans="1:2" x14ac:dyDescent="0.2">
      <c r="A7" s="4">
        <v>2</v>
      </c>
      <c r="B7" s="45">
        <f>B6*(1+$B$4)</f>
        <v>61499.999999999993</v>
      </c>
    </row>
    <row r="8" spans="1:2" x14ac:dyDescent="0.2">
      <c r="A8" s="4">
        <v>3</v>
      </c>
      <c r="B8" s="45">
        <f>B7*(1+$B$4)</f>
        <v>63037.499999999985</v>
      </c>
    </row>
    <row r="9" spans="1:2" x14ac:dyDescent="0.2">
      <c r="A9" s="4">
        <v>4</v>
      </c>
      <c r="B9" s="45">
        <f>B8*(1+$B$4)</f>
        <v>64613.437499999978</v>
      </c>
    </row>
    <row r="10" spans="1:2" x14ac:dyDescent="0.2">
      <c r="A10" s="4">
        <v>5</v>
      </c>
      <c r="B10" s="45">
        <f>B9*(1+$B$4)</f>
        <v>66228.773437499971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/>
  </sheetViews>
  <sheetFormatPr baseColWidth="10" defaultColWidth="8.83203125" defaultRowHeight="16" x14ac:dyDescent="0.2"/>
  <cols>
    <col min="1" max="1" width="25.83203125" style="4" customWidth="1"/>
    <col min="2" max="2" width="11.6640625" style="4" customWidth="1"/>
    <col min="3" max="3" width="10.1640625" style="4" customWidth="1"/>
    <col min="4" max="4" width="12.6640625" style="4" bestFit="1" customWidth="1"/>
    <col min="5" max="16384" width="8.83203125" style="4"/>
  </cols>
  <sheetData>
    <row r="1" spans="1:4" x14ac:dyDescent="0.2">
      <c r="A1" s="3" t="s">
        <v>82</v>
      </c>
    </row>
    <row r="3" spans="1:4" x14ac:dyDescent="0.2">
      <c r="A3" s="3" t="s">
        <v>77</v>
      </c>
    </row>
    <row r="4" spans="1:4" x14ac:dyDescent="0.2">
      <c r="A4" s="4" t="s">
        <v>78</v>
      </c>
    </row>
    <row r="6" spans="1:4" x14ac:dyDescent="0.2">
      <c r="A6" s="5" t="s">
        <v>79</v>
      </c>
      <c r="B6" s="137" t="s">
        <v>25</v>
      </c>
      <c r="C6" s="137" t="s">
        <v>26</v>
      </c>
      <c r="D6" s="137" t="s">
        <v>76</v>
      </c>
    </row>
    <row r="7" spans="1:4" x14ac:dyDescent="0.2">
      <c r="B7" s="32">
        <v>15000</v>
      </c>
      <c r="C7" s="32">
        <v>-8</v>
      </c>
      <c r="D7" s="32">
        <v>-0.05</v>
      </c>
    </row>
    <row r="9" spans="1:4" x14ac:dyDescent="0.2">
      <c r="A9" s="7" t="s">
        <v>80</v>
      </c>
      <c r="B9" s="7" t="s">
        <v>81</v>
      </c>
    </row>
    <row r="10" spans="1:4" x14ac:dyDescent="0.2">
      <c r="A10" s="76">
        <v>0</v>
      </c>
      <c r="B10" s="138">
        <f t="shared" ref="B10:B26" si="0">$B$7*EXP($C$7*EXP($D$7*A10))</f>
        <v>5.0319394185376778</v>
      </c>
    </row>
    <row r="11" spans="1:4" x14ac:dyDescent="0.2">
      <c r="A11" s="76">
        <v>10</v>
      </c>
      <c r="B11" s="138">
        <f t="shared" si="0"/>
        <v>117.1623057811355</v>
      </c>
    </row>
    <row r="12" spans="1:4" x14ac:dyDescent="0.2">
      <c r="A12" s="76">
        <v>20</v>
      </c>
      <c r="B12" s="138">
        <f t="shared" si="0"/>
        <v>790.58244875640742</v>
      </c>
    </row>
    <row r="13" spans="1:4" x14ac:dyDescent="0.2">
      <c r="A13" s="76">
        <v>30</v>
      </c>
      <c r="B13" s="138">
        <f t="shared" si="0"/>
        <v>2516.8520142184752</v>
      </c>
    </row>
    <row r="14" spans="1:4" x14ac:dyDescent="0.2">
      <c r="A14" s="76">
        <v>40</v>
      </c>
      <c r="B14" s="138">
        <f t="shared" si="0"/>
        <v>5080.2879101424815</v>
      </c>
    </row>
    <row r="15" spans="1:4" x14ac:dyDescent="0.2">
      <c r="A15" s="76">
        <v>50</v>
      </c>
      <c r="B15" s="138">
        <f t="shared" si="0"/>
        <v>7778.5520738557852</v>
      </c>
    </row>
    <row r="16" spans="1:4" x14ac:dyDescent="0.2">
      <c r="A16" s="76">
        <v>60</v>
      </c>
      <c r="B16" s="138">
        <f t="shared" si="0"/>
        <v>10071.943168066908</v>
      </c>
    </row>
    <row r="17" spans="1:2" x14ac:dyDescent="0.2">
      <c r="A17" s="76">
        <v>70</v>
      </c>
      <c r="B17" s="138">
        <f t="shared" si="0"/>
        <v>11780.800542992949</v>
      </c>
    </row>
    <row r="18" spans="1:2" x14ac:dyDescent="0.2">
      <c r="A18" s="76">
        <v>80</v>
      </c>
      <c r="B18" s="138">
        <f t="shared" si="0"/>
        <v>12955.560652429705</v>
      </c>
    </row>
    <row r="19" spans="1:2" x14ac:dyDescent="0.2">
      <c r="A19" s="76">
        <v>90</v>
      </c>
      <c r="B19" s="138">
        <f t="shared" si="0"/>
        <v>13724.44059962456</v>
      </c>
    </row>
    <row r="20" spans="1:2" x14ac:dyDescent="0.2">
      <c r="A20" s="76">
        <v>100</v>
      </c>
      <c r="B20" s="138">
        <f t="shared" si="0"/>
        <v>14212.851991600892</v>
      </c>
    </row>
    <row r="21" spans="1:2" x14ac:dyDescent="0.2">
      <c r="A21" s="76">
        <v>110</v>
      </c>
      <c r="B21" s="138">
        <f t="shared" si="0"/>
        <v>14517.517585500163</v>
      </c>
    </row>
    <row r="22" spans="1:2" x14ac:dyDescent="0.2">
      <c r="A22" s="76">
        <v>120</v>
      </c>
      <c r="B22" s="138">
        <f t="shared" si="0"/>
        <v>14705.47956261698</v>
      </c>
    </row>
    <row r="23" spans="1:2" x14ac:dyDescent="0.2">
      <c r="A23" s="76">
        <v>130</v>
      </c>
      <c r="B23" s="138">
        <f t="shared" si="0"/>
        <v>14820.667918223102</v>
      </c>
    </row>
    <row r="24" spans="1:2" x14ac:dyDescent="0.2">
      <c r="A24" s="76">
        <v>140</v>
      </c>
      <c r="B24" s="138">
        <f t="shared" si="0"/>
        <v>14890.9723291184</v>
      </c>
    </row>
    <row r="25" spans="1:2" x14ac:dyDescent="0.2">
      <c r="A25" s="76">
        <v>150</v>
      </c>
      <c r="B25" s="138">
        <f t="shared" si="0"/>
        <v>14933.77649237251</v>
      </c>
    </row>
    <row r="26" spans="1:2" x14ac:dyDescent="0.2">
      <c r="A26" s="76">
        <v>160</v>
      </c>
      <c r="B26" s="138">
        <f t="shared" si="0"/>
        <v>14959.798453246245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/>
  </sheetViews>
  <sheetFormatPr baseColWidth="10" defaultRowHeight="16" x14ac:dyDescent="0.2"/>
  <cols>
    <col min="1" max="1" width="21.6640625" style="4" bestFit="1" customWidth="1"/>
    <col min="2" max="2" width="14.6640625" style="4" bestFit="1" customWidth="1"/>
    <col min="3" max="16384" width="10.83203125" style="4"/>
  </cols>
  <sheetData>
    <row r="1" spans="1:2" x14ac:dyDescent="0.2">
      <c r="A1" s="3" t="s">
        <v>84</v>
      </c>
    </row>
    <row r="3" spans="1:2" x14ac:dyDescent="0.2">
      <c r="A3" s="3" t="s">
        <v>85</v>
      </c>
      <c r="B3" s="18">
        <v>15000000</v>
      </c>
    </row>
    <row r="4" spans="1:2" x14ac:dyDescent="0.2">
      <c r="A4" s="3" t="s">
        <v>88</v>
      </c>
      <c r="B4" s="19">
        <v>0.45</v>
      </c>
    </row>
    <row r="5" spans="1:2" x14ac:dyDescent="0.2">
      <c r="A5" s="3" t="s">
        <v>86</v>
      </c>
      <c r="B5" s="18">
        <v>3000000</v>
      </c>
    </row>
    <row r="6" spans="1:2" x14ac:dyDescent="0.2">
      <c r="A6" s="3"/>
    </row>
    <row r="7" spans="1:2" x14ac:dyDescent="0.2">
      <c r="A7" s="3" t="s">
        <v>87</v>
      </c>
      <c r="B7" s="76">
        <f>(B3*B4-B5)/B5</f>
        <v>1.25</v>
      </c>
    </row>
    <row r="9" spans="1:2" x14ac:dyDescent="0.2">
      <c r="A9" s="139" t="s">
        <v>85</v>
      </c>
      <c r="B9" s="139" t="s">
        <v>87</v>
      </c>
    </row>
    <row r="10" spans="1:2" x14ac:dyDescent="0.2">
      <c r="A10" s="136">
        <v>10000000</v>
      </c>
      <c r="B10" s="140">
        <f>(A10*$B$4-$B$5)/$B$5</f>
        <v>0.5</v>
      </c>
    </row>
    <row r="11" spans="1:2" x14ac:dyDescent="0.2">
      <c r="A11" s="136">
        <v>11000000</v>
      </c>
      <c r="B11" s="140">
        <f t="shared" ref="B11:B20" si="0">(A11*$B$4-$B$5)/$B$5</f>
        <v>0.65</v>
      </c>
    </row>
    <row r="12" spans="1:2" x14ac:dyDescent="0.2">
      <c r="A12" s="136">
        <v>12000000</v>
      </c>
      <c r="B12" s="140">
        <f t="shared" si="0"/>
        <v>0.8</v>
      </c>
    </row>
    <row r="13" spans="1:2" x14ac:dyDescent="0.2">
      <c r="A13" s="136">
        <v>13000000</v>
      </c>
      <c r="B13" s="140">
        <f t="shared" si="0"/>
        <v>0.95</v>
      </c>
    </row>
    <row r="14" spans="1:2" x14ac:dyDescent="0.2">
      <c r="A14" s="136">
        <v>14000000</v>
      </c>
      <c r="B14" s="140">
        <f t="shared" si="0"/>
        <v>1.1000000000000001</v>
      </c>
    </row>
    <row r="15" spans="1:2" x14ac:dyDescent="0.2">
      <c r="A15" s="136">
        <v>15000000</v>
      </c>
      <c r="B15" s="140">
        <f t="shared" si="0"/>
        <v>1.25</v>
      </c>
    </row>
    <row r="16" spans="1:2" x14ac:dyDescent="0.2">
      <c r="A16" s="136">
        <v>16000000</v>
      </c>
      <c r="B16" s="140">
        <f t="shared" si="0"/>
        <v>1.4</v>
      </c>
    </row>
    <row r="17" spans="1:2" x14ac:dyDescent="0.2">
      <c r="A17" s="136">
        <v>17000000</v>
      </c>
      <c r="B17" s="140">
        <f t="shared" si="0"/>
        <v>1.55</v>
      </c>
    </row>
    <row r="18" spans="1:2" x14ac:dyDescent="0.2">
      <c r="A18" s="136">
        <v>18000000</v>
      </c>
      <c r="B18" s="140">
        <f t="shared" si="0"/>
        <v>1.7</v>
      </c>
    </row>
    <row r="19" spans="1:2" x14ac:dyDescent="0.2">
      <c r="A19" s="136">
        <v>19000000</v>
      </c>
      <c r="B19" s="140">
        <f t="shared" si="0"/>
        <v>1.85</v>
      </c>
    </row>
    <row r="20" spans="1:2" x14ac:dyDescent="0.2">
      <c r="A20" s="136">
        <v>20000000</v>
      </c>
      <c r="B20" s="140">
        <f t="shared" si="0"/>
        <v>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/>
  </sheetViews>
  <sheetFormatPr baseColWidth="10" defaultRowHeight="16" x14ac:dyDescent="0.2"/>
  <cols>
    <col min="1" max="1" width="10.83203125" style="16"/>
    <col min="2" max="2" width="8.1640625" style="16" bestFit="1" customWidth="1"/>
    <col min="3" max="3" width="16.6640625" style="16" bestFit="1" customWidth="1"/>
    <col min="4" max="4" width="27.5" style="16" bestFit="1" customWidth="1"/>
    <col min="5" max="5" width="18.5" style="16" bestFit="1" customWidth="1"/>
    <col min="6" max="6" width="6.5" style="16" bestFit="1" customWidth="1"/>
    <col min="7" max="7" width="11.33203125" style="16" bestFit="1" customWidth="1"/>
    <col min="8" max="16384" width="10.83203125" style="16"/>
  </cols>
  <sheetData>
    <row r="1" spans="1:7" x14ac:dyDescent="0.2">
      <c r="A1" s="2" t="s">
        <v>194</v>
      </c>
      <c r="B1" s="65"/>
      <c r="C1" s="65"/>
      <c r="D1" s="65"/>
      <c r="E1" s="65"/>
      <c r="F1" s="65"/>
      <c r="G1" s="65"/>
    </row>
    <row r="2" spans="1:7" x14ac:dyDescent="0.2">
      <c r="A2" s="65"/>
      <c r="B2" s="65"/>
      <c r="C2" s="65"/>
      <c r="D2" s="65"/>
      <c r="E2" s="65"/>
      <c r="F2" s="65"/>
      <c r="G2" s="65"/>
    </row>
    <row r="3" spans="1:7" ht="17" thickBot="1" x14ac:dyDescent="0.25">
      <c r="A3" s="66" t="s">
        <v>195</v>
      </c>
      <c r="B3" s="66" t="s">
        <v>196</v>
      </c>
      <c r="C3" s="66" t="s">
        <v>197</v>
      </c>
      <c r="D3" s="66" t="s">
        <v>198</v>
      </c>
      <c r="E3" s="66" t="s">
        <v>199</v>
      </c>
      <c r="F3" s="66" t="s">
        <v>200</v>
      </c>
      <c r="G3" s="66" t="s">
        <v>201</v>
      </c>
    </row>
    <row r="4" spans="1:7" ht="17" thickTop="1" x14ac:dyDescent="0.2">
      <c r="A4" s="67">
        <v>1</v>
      </c>
      <c r="B4" s="68" t="s">
        <v>202</v>
      </c>
      <c r="C4" s="68">
        <v>17</v>
      </c>
      <c r="D4" s="68">
        <v>4</v>
      </c>
      <c r="E4" s="68" t="s">
        <v>203</v>
      </c>
      <c r="F4" s="68" t="s">
        <v>204</v>
      </c>
      <c r="G4" s="69" t="s">
        <v>205</v>
      </c>
    </row>
    <row r="5" spans="1:7" x14ac:dyDescent="0.2">
      <c r="A5" s="67">
        <v>2</v>
      </c>
      <c r="B5" s="68" t="s">
        <v>202</v>
      </c>
      <c r="C5" s="68">
        <v>6</v>
      </c>
      <c r="D5" s="68">
        <v>2</v>
      </c>
      <c r="E5" s="68" t="s">
        <v>203</v>
      </c>
      <c r="F5" s="68" t="s">
        <v>203</v>
      </c>
      <c r="G5" s="69" t="s">
        <v>206</v>
      </c>
    </row>
    <row r="6" spans="1:7" x14ac:dyDescent="0.2">
      <c r="A6" s="67">
        <v>3</v>
      </c>
      <c r="B6" s="68" t="s">
        <v>207</v>
      </c>
      <c r="C6" s="68">
        <v>8</v>
      </c>
      <c r="D6" s="68">
        <v>4</v>
      </c>
      <c r="E6" s="68" t="s">
        <v>204</v>
      </c>
      <c r="F6" s="68" t="s">
        <v>204</v>
      </c>
      <c r="G6" s="69" t="s">
        <v>208</v>
      </c>
    </row>
    <row r="7" spans="1:7" x14ac:dyDescent="0.2">
      <c r="A7" s="67">
        <v>4</v>
      </c>
      <c r="B7" s="68" t="s">
        <v>202</v>
      </c>
      <c r="C7" s="68">
        <v>8</v>
      </c>
      <c r="D7" s="68">
        <v>4</v>
      </c>
      <c r="E7" s="68" t="s">
        <v>204</v>
      </c>
      <c r="F7" s="68" t="s">
        <v>203</v>
      </c>
      <c r="G7" s="69" t="s">
        <v>208</v>
      </c>
    </row>
    <row r="8" spans="1:7" x14ac:dyDescent="0.2">
      <c r="A8" s="67">
        <v>5</v>
      </c>
      <c r="B8" s="68" t="s">
        <v>207</v>
      </c>
      <c r="C8" s="68">
        <v>16</v>
      </c>
      <c r="D8" s="68">
        <v>4</v>
      </c>
      <c r="E8" s="68" t="s">
        <v>204</v>
      </c>
      <c r="F8" s="68" t="s">
        <v>204</v>
      </c>
      <c r="G8" s="69" t="s">
        <v>209</v>
      </c>
    </row>
    <row r="9" spans="1:7" x14ac:dyDescent="0.2">
      <c r="A9" s="67">
        <v>6</v>
      </c>
      <c r="B9" s="68" t="s">
        <v>202</v>
      </c>
      <c r="C9" s="68">
        <v>21</v>
      </c>
      <c r="D9" s="68">
        <v>1</v>
      </c>
      <c r="E9" s="68" t="s">
        <v>203</v>
      </c>
      <c r="F9" s="68" t="s">
        <v>204</v>
      </c>
      <c r="G9" s="69" t="s">
        <v>210</v>
      </c>
    </row>
    <row r="10" spans="1:7" x14ac:dyDescent="0.2">
      <c r="A10" s="67">
        <v>7</v>
      </c>
      <c r="B10" s="68" t="s">
        <v>207</v>
      </c>
      <c r="C10" s="68">
        <v>27</v>
      </c>
      <c r="D10" s="68">
        <v>4</v>
      </c>
      <c r="E10" s="68" t="s">
        <v>203</v>
      </c>
      <c r="F10" s="68" t="s">
        <v>203</v>
      </c>
      <c r="G10" s="69" t="s">
        <v>210</v>
      </c>
    </row>
    <row r="11" spans="1:7" x14ac:dyDescent="0.2">
      <c r="A11" s="67">
        <v>8</v>
      </c>
      <c r="B11" s="68" t="s">
        <v>202</v>
      </c>
      <c r="C11" s="68">
        <v>7</v>
      </c>
      <c r="D11" s="68">
        <v>4</v>
      </c>
      <c r="E11" s="68" t="s">
        <v>204</v>
      </c>
      <c r="F11" s="68" t="s">
        <v>204</v>
      </c>
      <c r="G11" s="69" t="s">
        <v>206</v>
      </c>
    </row>
    <row r="12" spans="1:7" x14ac:dyDescent="0.2">
      <c r="A12" s="67">
        <v>9</v>
      </c>
      <c r="B12" s="68" t="s">
        <v>207</v>
      </c>
      <c r="C12" s="68">
        <v>8</v>
      </c>
      <c r="D12" s="68">
        <v>4</v>
      </c>
      <c r="E12" s="68" t="s">
        <v>203</v>
      </c>
      <c r="F12" s="68" t="s">
        <v>203</v>
      </c>
      <c r="G12" s="69" t="s">
        <v>208</v>
      </c>
    </row>
    <row r="13" spans="1:7" x14ac:dyDescent="0.2">
      <c r="A13" s="67">
        <v>10</v>
      </c>
      <c r="B13" s="68" t="s">
        <v>207</v>
      </c>
      <c r="C13" s="68">
        <v>23</v>
      </c>
      <c r="D13" s="68">
        <v>2</v>
      </c>
      <c r="E13" s="68" t="s">
        <v>203</v>
      </c>
      <c r="F13" s="68" t="s">
        <v>204</v>
      </c>
      <c r="G13" s="69" t="s">
        <v>205</v>
      </c>
    </row>
    <row r="14" spans="1:7" x14ac:dyDescent="0.2">
      <c r="A14" s="67">
        <v>11</v>
      </c>
      <c r="B14" s="68" t="s">
        <v>202</v>
      </c>
      <c r="C14" s="68">
        <v>9</v>
      </c>
      <c r="D14" s="68">
        <v>4</v>
      </c>
      <c r="E14" s="68" t="s">
        <v>204</v>
      </c>
      <c r="F14" s="68" t="s">
        <v>204</v>
      </c>
      <c r="G14" s="69" t="s">
        <v>208</v>
      </c>
    </row>
    <row r="15" spans="1:7" x14ac:dyDescent="0.2">
      <c r="A15" s="67">
        <v>12</v>
      </c>
      <c r="B15" s="68" t="s">
        <v>202</v>
      </c>
      <c r="C15" s="68">
        <v>8</v>
      </c>
      <c r="D15" s="68">
        <v>2</v>
      </c>
      <c r="E15" s="68" t="s">
        <v>203</v>
      </c>
      <c r="F15" s="68" t="s">
        <v>203</v>
      </c>
      <c r="G15" s="69" t="s">
        <v>206</v>
      </c>
    </row>
    <row r="16" spans="1:7" x14ac:dyDescent="0.2">
      <c r="A16" s="67">
        <v>13</v>
      </c>
      <c r="B16" s="68" t="s">
        <v>202</v>
      </c>
      <c r="C16" s="68">
        <v>8</v>
      </c>
      <c r="D16" s="68">
        <v>4</v>
      </c>
      <c r="E16" s="68" t="s">
        <v>204</v>
      </c>
      <c r="F16" s="68" t="s">
        <v>203</v>
      </c>
      <c r="G16" s="69" t="s">
        <v>206</v>
      </c>
    </row>
    <row r="17" spans="1:7" x14ac:dyDescent="0.2">
      <c r="A17" s="67">
        <v>14</v>
      </c>
      <c r="B17" s="68" t="s">
        <v>207</v>
      </c>
      <c r="C17" s="68">
        <v>26</v>
      </c>
      <c r="D17" s="68">
        <v>4</v>
      </c>
      <c r="E17" s="68" t="s">
        <v>203</v>
      </c>
      <c r="F17" s="68" t="s">
        <v>204</v>
      </c>
      <c r="G17" s="69" t="s">
        <v>211</v>
      </c>
    </row>
    <row r="18" spans="1:7" x14ac:dyDescent="0.2">
      <c r="A18" s="67">
        <v>15</v>
      </c>
      <c r="B18" s="68" t="s">
        <v>202</v>
      </c>
      <c r="C18" s="68">
        <v>9</v>
      </c>
      <c r="D18" s="68">
        <v>4</v>
      </c>
      <c r="E18" s="68" t="s">
        <v>203</v>
      </c>
      <c r="F18" s="68" t="s">
        <v>204</v>
      </c>
      <c r="G18" s="69" t="s">
        <v>206</v>
      </c>
    </row>
    <row r="19" spans="1:7" x14ac:dyDescent="0.2">
      <c r="A19" s="67">
        <v>16</v>
      </c>
      <c r="B19" s="68" t="s">
        <v>202</v>
      </c>
      <c r="C19" s="68">
        <v>9</v>
      </c>
      <c r="D19" s="68">
        <v>2</v>
      </c>
      <c r="E19" s="68" t="s">
        <v>203</v>
      </c>
      <c r="F19" s="68" t="s">
        <v>203</v>
      </c>
      <c r="G19" s="69" t="s">
        <v>206</v>
      </c>
    </row>
    <row r="20" spans="1:7" x14ac:dyDescent="0.2">
      <c r="A20" s="67">
        <v>17</v>
      </c>
      <c r="B20" s="68" t="s">
        <v>207</v>
      </c>
      <c r="C20" s="68">
        <v>19</v>
      </c>
      <c r="D20" s="68">
        <v>2</v>
      </c>
      <c r="E20" s="68" t="s">
        <v>204</v>
      </c>
      <c r="F20" s="68" t="s">
        <v>204</v>
      </c>
      <c r="G20" s="69" t="s">
        <v>209</v>
      </c>
    </row>
    <row r="21" spans="1:7" x14ac:dyDescent="0.2">
      <c r="A21" s="67">
        <v>18</v>
      </c>
      <c r="B21" s="68" t="s">
        <v>207</v>
      </c>
      <c r="C21" s="68">
        <v>5</v>
      </c>
      <c r="D21" s="68">
        <v>4</v>
      </c>
      <c r="E21" s="68" t="s">
        <v>203</v>
      </c>
      <c r="F21" s="68" t="s">
        <v>203</v>
      </c>
      <c r="G21" s="69" t="s">
        <v>209</v>
      </c>
    </row>
    <row r="22" spans="1:7" x14ac:dyDescent="0.2">
      <c r="A22" s="67">
        <v>19</v>
      </c>
      <c r="B22" s="67" t="s">
        <v>207</v>
      </c>
      <c r="C22" s="68">
        <v>19</v>
      </c>
      <c r="D22" s="68">
        <v>4</v>
      </c>
      <c r="E22" s="68" t="s">
        <v>204</v>
      </c>
      <c r="F22" s="68" t="s">
        <v>203</v>
      </c>
      <c r="G22" s="69" t="s">
        <v>210</v>
      </c>
    </row>
    <row r="23" spans="1:7" x14ac:dyDescent="0.2">
      <c r="A23" s="67">
        <v>20</v>
      </c>
      <c r="B23" s="68" t="s">
        <v>207</v>
      </c>
      <c r="C23" s="68">
        <v>20</v>
      </c>
      <c r="D23" s="68">
        <v>4</v>
      </c>
      <c r="E23" s="68" t="s">
        <v>203</v>
      </c>
      <c r="F23" s="68" t="s">
        <v>203</v>
      </c>
      <c r="G23" s="69" t="s">
        <v>211</v>
      </c>
    </row>
    <row r="24" spans="1:7" x14ac:dyDescent="0.2">
      <c r="A24" s="67">
        <v>21</v>
      </c>
      <c r="B24" s="67" t="s">
        <v>202</v>
      </c>
      <c r="C24" s="67">
        <v>14</v>
      </c>
      <c r="D24" s="68">
        <v>4</v>
      </c>
      <c r="E24" s="68" t="s">
        <v>204</v>
      </c>
      <c r="F24" s="68" t="s">
        <v>204</v>
      </c>
      <c r="G24" s="69" t="s">
        <v>209</v>
      </c>
    </row>
    <row r="25" spans="1:7" x14ac:dyDescent="0.2">
      <c r="A25" s="67">
        <v>22</v>
      </c>
      <c r="B25" s="68" t="s">
        <v>207</v>
      </c>
      <c r="C25" s="68">
        <v>31</v>
      </c>
      <c r="D25" s="68">
        <v>4</v>
      </c>
      <c r="E25" s="68" t="s">
        <v>203</v>
      </c>
      <c r="F25" s="68" t="s">
        <v>203</v>
      </c>
      <c r="G25" s="69" t="s">
        <v>210</v>
      </c>
    </row>
    <row r="26" spans="1:7" x14ac:dyDescent="0.2">
      <c r="A26" s="67">
        <v>23</v>
      </c>
      <c r="B26" s="67" t="s">
        <v>202</v>
      </c>
      <c r="C26" s="67">
        <v>10</v>
      </c>
      <c r="D26" s="67">
        <v>0</v>
      </c>
      <c r="E26" s="68" t="s">
        <v>203</v>
      </c>
      <c r="F26" s="68" t="s">
        <v>203</v>
      </c>
      <c r="G26" s="69" t="s">
        <v>210</v>
      </c>
    </row>
    <row r="27" spans="1:7" x14ac:dyDescent="0.2">
      <c r="A27" s="67">
        <v>24</v>
      </c>
      <c r="B27" s="68" t="s">
        <v>202</v>
      </c>
      <c r="C27" s="68">
        <v>10</v>
      </c>
      <c r="D27" s="68">
        <v>4</v>
      </c>
      <c r="E27" s="68" t="s">
        <v>203</v>
      </c>
      <c r="F27" s="68" t="s">
        <v>204</v>
      </c>
      <c r="G27" s="69" t="s">
        <v>208</v>
      </c>
    </row>
    <row r="28" spans="1:7" x14ac:dyDescent="0.2">
      <c r="A28" s="67">
        <v>25</v>
      </c>
      <c r="B28" s="67" t="s">
        <v>207</v>
      </c>
      <c r="C28" s="67">
        <v>26</v>
      </c>
      <c r="D28" s="67">
        <v>4</v>
      </c>
      <c r="E28" s="68" t="s">
        <v>204</v>
      </c>
      <c r="F28" s="68" t="s">
        <v>204</v>
      </c>
      <c r="G28" s="69" t="s">
        <v>211</v>
      </c>
    </row>
    <row r="29" spans="1:7" x14ac:dyDescent="0.2">
      <c r="A29" s="67">
        <v>26</v>
      </c>
      <c r="B29" s="67" t="s">
        <v>207</v>
      </c>
      <c r="C29" s="67">
        <v>28</v>
      </c>
      <c r="D29" s="67">
        <v>4</v>
      </c>
      <c r="E29" s="68" t="s">
        <v>203</v>
      </c>
      <c r="F29" s="68" t="s">
        <v>203</v>
      </c>
      <c r="G29" s="69" t="s">
        <v>210</v>
      </c>
    </row>
    <row r="30" spans="1:7" x14ac:dyDescent="0.2">
      <c r="A30" s="67">
        <v>27</v>
      </c>
      <c r="B30" s="67" t="s">
        <v>202</v>
      </c>
      <c r="C30" s="67">
        <v>5</v>
      </c>
      <c r="D30" s="67">
        <v>4</v>
      </c>
      <c r="E30" s="68" t="s">
        <v>203</v>
      </c>
      <c r="F30" s="68" t="s">
        <v>204</v>
      </c>
      <c r="G30" s="69" t="s">
        <v>212</v>
      </c>
    </row>
    <row r="33" spans="1:2" x14ac:dyDescent="0.2">
      <c r="A33" s="71" t="s">
        <v>1</v>
      </c>
      <c r="B33" s="70">
        <f>MAX(C4:C30)</f>
        <v>31</v>
      </c>
    </row>
    <row r="34" spans="1:2" x14ac:dyDescent="0.2">
      <c r="A34" s="71" t="s">
        <v>5</v>
      </c>
      <c r="B34" s="70">
        <f>AVERAGE(C4:C30)</f>
        <v>14.703703703703704</v>
      </c>
    </row>
    <row r="35" spans="1:2" x14ac:dyDescent="0.2">
      <c r="A35" s="71" t="s">
        <v>213</v>
      </c>
      <c r="B35" s="70">
        <f>COUNTIF(B4:B30,"M")</f>
        <v>13</v>
      </c>
    </row>
    <row r="36" spans="1:2" x14ac:dyDescent="0.2">
      <c r="A36" s="71" t="s">
        <v>214</v>
      </c>
      <c r="B36" s="70">
        <f>COUNTIFS(B4:B30,"F",F4:F30,"Y")</f>
        <v>8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baseColWidth="10" defaultRowHeight="16" x14ac:dyDescent="0.2"/>
  <cols>
    <col min="1" max="1" width="18.1640625" style="4" bestFit="1" customWidth="1"/>
    <col min="2" max="2" width="12.83203125" style="4" bestFit="1" customWidth="1"/>
    <col min="3" max="16384" width="10.83203125" style="4"/>
  </cols>
  <sheetData>
    <row r="1" spans="1:2" x14ac:dyDescent="0.2">
      <c r="A1" s="3" t="s">
        <v>215</v>
      </c>
    </row>
    <row r="3" spans="1:2" x14ac:dyDescent="0.2">
      <c r="A3" s="3" t="s">
        <v>216</v>
      </c>
      <c r="B3" s="3" t="s">
        <v>217</v>
      </c>
    </row>
    <row r="4" spans="1:2" x14ac:dyDescent="0.2">
      <c r="A4" s="32">
        <v>1</v>
      </c>
      <c r="B4" s="141">
        <v>172800</v>
      </c>
    </row>
    <row r="5" spans="1:2" x14ac:dyDescent="0.2">
      <c r="A5" s="32">
        <v>2</v>
      </c>
      <c r="B5" s="141">
        <v>213580</v>
      </c>
    </row>
    <row r="6" spans="1:2" x14ac:dyDescent="0.2">
      <c r="A6" s="32">
        <v>3</v>
      </c>
      <c r="B6" s="141">
        <v>293985</v>
      </c>
    </row>
    <row r="7" spans="1:2" x14ac:dyDescent="0.2">
      <c r="A7" s="32"/>
      <c r="B7" s="32"/>
    </row>
    <row r="8" spans="1:2" x14ac:dyDescent="0.2">
      <c r="A8" s="137" t="s">
        <v>218</v>
      </c>
      <c r="B8" s="142">
        <v>4.2000000000000003E-2</v>
      </c>
    </row>
    <row r="9" spans="1:2" x14ac:dyDescent="0.2">
      <c r="A9" s="15"/>
    </row>
    <row r="10" spans="1:2" x14ac:dyDescent="0.2">
      <c r="A10" s="37" t="s">
        <v>145</v>
      </c>
      <c r="B10" s="72">
        <f>NPV(B8,B4:B6)</f>
        <v>622393.92418486543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RowHeight="16" x14ac:dyDescent="0.2"/>
  <cols>
    <col min="1" max="16384" width="10.83203125" style="4"/>
  </cols>
  <sheetData>
    <row r="1" spans="1:1" x14ac:dyDescent="0.2">
      <c r="A1" s="3" t="s">
        <v>54</v>
      </c>
    </row>
    <row r="3" spans="1:1" x14ac:dyDescent="0.2">
      <c r="A3" s="4" t="s">
        <v>73</v>
      </c>
    </row>
    <row r="5" spans="1:1" x14ac:dyDescent="0.2">
      <c r="A5" s="3" t="s">
        <v>55</v>
      </c>
    </row>
    <row r="6" spans="1:1" x14ac:dyDescent="0.2">
      <c r="A6" s="4" t="s">
        <v>57</v>
      </c>
    </row>
    <row r="8" spans="1:1" x14ac:dyDescent="0.2">
      <c r="A8" s="3" t="s">
        <v>267</v>
      </c>
    </row>
    <row r="9" spans="1:1" x14ac:dyDescent="0.2">
      <c r="A9" s="4" t="s">
        <v>58</v>
      </c>
    </row>
    <row r="11" spans="1:1" x14ac:dyDescent="0.2">
      <c r="A11" s="3" t="s">
        <v>56</v>
      </c>
    </row>
    <row r="12" spans="1:1" x14ac:dyDescent="0.2">
      <c r="A12" s="4" t="s">
        <v>59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baseColWidth="10" defaultColWidth="8.83203125" defaultRowHeight="16" x14ac:dyDescent="0.2"/>
  <cols>
    <col min="1" max="1" width="14.5" style="4" customWidth="1"/>
    <col min="2" max="2" width="18.1640625" style="4" bestFit="1" customWidth="1"/>
    <col min="3" max="3" width="8.83203125" style="4"/>
    <col min="4" max="4" width="12.5" style="4" bestFit="1" customWidth="1"/>
    <col min="5" max="16384" width="8.83203125" style="4"/>
  </cols>
  <sheetData>
    <row r="1" spans="1:2" x14ac:dyDescent="0.2">
      <c r="A1" s="3" t="s">
        <v>149</v>
      </c>
    </row>
    <row r="3" spans="1:2" x14ac:dyDescent="0.2">
      <c r="A3" s="73" t="s">
        <v>148</v>
      </c>
      <c r="B3" s="73" t="s">
        <v>147</v>
      </c>
    </row>
    <row r="4" spans="1:2" x14ac:dyDescent="0.2">
      <c r="A4" s="32">
        <v>1</v>
      </c>
      <c r="B4" s="74">
        <v>-300000000</v>
      </c>
    </row>
    <row r="5" spans="1:2" x14ac:dyDescent="0.2">
      <c r="A5" s="32">
        <v>2</v>
      </c>
      <c r="B5" s="74">
        <v>-145000000</v>
      </c>
    </row>
    <row r="6" spans="1:2" x14ac:dyDescent="0.2">
      <c r="A6" s="32">
        <v>3</v>
      </c>
      <c r="B6" s="74">
        <v>50000000</v>
      </c>
    </row>
    <row r="7" spans="1:2" x14ac:dyDescent="0.2">
      <c r="A7" s="32">
        <v>4</v>
      </c>
      <c r="B7" s="74">
        <v>125000000</v>
      </c>
    </row>
    <row r="8" spans="1:2" x14ac:dyDescent="0.2">
      <c r="A8" s="32">
        <v>5</v>
      </c>
      <c r="B8" s="74">
        <v>530000000</v>
      </c>
    </row>
    <row r="9" spans="1:2" x14ac:dyDescent="0.2">
      <c r="A9" s="32"/>
      <c r="B9" s="74"/>
    </row>
    <row r="10" spans="1:2" x14ac:dyDescent="0.2">
      <c r="A10" s="73" t="s">
        <v>115</v>
      </c>
      <c r="B10" s="74">
        <v>80000000</v>
      </c>
    </row>
    <row r="11" spans="1:2" x14ac:dyDescent="0.2">
      <c r="A11" s="32"/>
      <c r="B11" s="32"/>
    </row>
    <row r="12" spans="1:2" x14ac:dyDescent="0.2">
      <c r="A12" s="73" t="s">
        <v>146</v>
      </c>
      <c r="B12" s="143">
        <v>0.03</v>
      </c>
    </row>
    <row r="14" spans="1:2" x14ac:dyDescent="0.2">
      <c r="A14" s="3" t="s">
        <v>145</v>
      </c>
      <c r="B14" s="72">
        <f>NPV(B12,B4:B8)-B10</f>
        <v>106062076.93400145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8"/>
  <sheetViews>
    <sheetView workbookViewId="0"/>
  </sheetViews>
  <sheetFormatPr baseColWidth="10" defaultColWidth="8.83203125" defaultRowHeight="16" x14ac:dyDescent="0.2"/>
  <cols>
    <col min="1" max="1" width="14.5" style="32" bestFit="1" customWidth="1"/>
    <col min="2" max="2" width="12.6640625" style="32" customWidth="1"/>
    <col min="3" max="3" width="3.33203125" style="4" customWidth="1"/>
    <col min="4" max="4" width="22.5" style="4" bestFit="1" customWidth="1"/>
    <col min="5" max="5" width="20.6640625" style="4" customWidth="1"/>
    <col min="6" max="16384" width="8.83203125" style="4"/>
  </cols>
  <sheetData>
    <row r="1" spans="1:5" x14ac:dyDescent="0.2">
      <c r="A1" s="73" t="s">
        <v>166</v>
      </c>
    </row>
    <row r="2" spans="1:5" x14ac:dyDescent="0.2">
      <c r="D2" s="157"/>
      <c r="E2" s="157"/>
    </row>
    <row r="3" spans="1:5" ht="17" thickBot="1" x14ac:dyDescent="0.25">
      <c r="A3" s="144" t="s">
        <v>164</v>
      </c>
      <c r="B3" s="144" t="s">
        <v>165</v>
      </c>
      <c r="D3" s="37" t="s">
        <v>164</v>
      </c>
      <c r="E3" s="37" t="s">
        <v>163</v>
      </c>
    </row>
    <row r="4" spans="1:5" ht="17" thickTop="1" x14ac:dyDescent="0.2">
      <c r="A4" s="145" t="s">
        <v>152</v>
      </c>
      <c r="B4" s="146">
        <v>0</v>
      </c>
      <c r="D4" s="75" t="str">
        <f>A6</f>
        <v>New Car</v>
      </c>
      <c r="E4" s="76">
        <f>COUNTIF($A$4:$A$428,"New Car")</f>
        <v>104</v>
      </c>
    </row>
    <row r="5" spans="1:5" x14ac:dyDescent="0.2">
      <c r="A5" s="145" t="s">
        <v>151</v>
      </c>
      <c r="B5" s="146">
        <v>0</v>
      </c>
      <c r="D5" s="75" t="str">
        <f>A19</f>
        <v>Used Car</v>
      </c>
      <c r="E5" s="76">
        <f>COUNTIF($A$4:$A$428,"Used Car")</f>
        <v>40</v>
      </c>
    </row>
    <row r="6" spans="1:5" x14ac:dyDescent="0.2">
      <c r="A6" s="145" t="s">
        <v>150</v>
      </c>
      <c r="B6" s="146">
        <v>0</v>
      </c>
      <c r="D6" s="75" t="str">
        <f>A14</f>
        <v>Business</v>
      </c>
      <c r="E6" s="76">
        <f>COUNTIF($A$4:$A$428,"Business")</f>
        <v>44</v>
      </c>
    </row>
    <row r="7" spans="1:5" x14ac:dyDescent="0.2">
      <c r="A7" s="145" t="s">
        <v>151</v>
      </c>
      <c r="B7" s="146">
        <v>638</v>
      </c>
      <c r="D7" s="75" t="str">
        <f>A8</f>
        <v>Education</v>
      </c>
      <c r="E7" s="76">
        <f>COUNTIF($A$4:$A$428,"Education")</f>
        <v>23</v>
      </c>
    </row>
    <row r="8" spans="1:5" x14ac:dyDescent="0.2">
      <c r="A8" s="145" t="s">
        <v>153</v>
      </c>
      <c r="B8" s="146">
        <v>963</v>
      </c>
      <c r="D8" s="75" t="str">
        <f>A4</f>
        <v>Small Appliance</v>
      </c>
      <c r="E8" s="76">
        <f>COUNTIF($A$4:$A$428,"Small Appliance")</f>
        <v>105</v>
      </c>
    </row>
    <row r="9" spans="1:5" x14ac:dyDescent="0.2">
      <c r="A9" s="145" t="s">
        <v>151</v>
      </c>
      <c r="B9" s="146">
        <v>2827</v>
      </c>
      <c r="D9" s="75" t="str">
        <f>A5</f>
        <v>Furniture</v>
      </c>
      <c r="E9" s="76">
        <f>COUNTIF($A$4:$A$428,"Furniture")</f>
        <v>85</v>
      </c>
    </row>
    <row r="10" spans="1:5" x14ac:dyDescent="0.2">
      <c r="A10" s="145" t="s">
        <v>150</v>
      </c>
      <c r="B10" s="146">
        <v>0</v>
      </c>
    </row>
    <row r="11" spans="1:5" x14ac:dyDescent="0.2">
      <c r="A11" s="145" t="s">
        <v>155</v>
      </c>
      <c r="B11" s="146">
        <v>0</v>
      </c>
      <c r="D11" s="37" t="s">
        <v>162</v>
      </c>
      <c r="E11" s="37" t="s">
        <v>161</v>
      </c>
    </row>
    <row r="12" spans="1:5" x14ac:dyDescent="0.2">
      <c r="A12" s="145" t="s">
        <v>152</v>
      </c>
      <c r="B12" s="146">
        <v>6509</v>
      </c>
      <c r="D12" s="77" t="s">
        <v>160</v>
      </c>
      <c r="E12" s="76">
        <f>COUNTIF(B4:B428,"&lt;500")</f>
        <v>312</v>
      </c>
    </row>
    <row r="13" spans="1:5" x14ac:dyDescent="0.2">
      <c r="A13" s="145" t="s">
        <v>152</v>
      </c>
      <c r="B13" s="146">
        <v>966</v>
      </c>
    </row>
    <row r="14" spans="1:5" x14ac:dyDescent="0.2">
      <c r="A14" s="145" t="s">
        <v>155</v>
      </c>
      <c r="B14" s="146">
        <v>0</v>
      </c>
    </row>
    <row r="15" spans="1:5" x14ac:dyDescent="0.2">
      <c r="A15" s="145" t="s">
        <v>150</v>
      </c>
      <c r="B15" s="146">
        <v>0</v>
      </c>
    </row>
    <row r="16" spans="1:5" x14ac:dyDescent="0.2">
      <c r="A16" s="145" t="s">
        <v>155</v>
      </c>
      <c r="B16" s="146">
        <v>322</v>
      </c>
    </row>
    <row r="17" spans="1:2" x14ac:dyDescent="0.2">
      <c r="A17" s="145" t="s">
        <v>150</v>
      </c>
      <c r="B17" s="146">
        <v>0</v>
      </c>
    </row>
    <row r="18" spans="1:2" x14ac:dyDescent="0.2">
      <c r="A18" s="145" t="s">
        <v>150</v>
      </c>
      <c r="B18" s="146">
        <v>396</v>
      </c>
    </row>
    <row r="19" spans="1:2" x14ac:dyDescent="0.2">
      <c r="A19" s="145" t="s">
        <v>154</v>
      </c>
      <c r="B19" s="146">
        <v>0</v>
      </c>
    </row>
    <row r="20" spans="1:2" x14ac:dyDescent="0.2">
      <c r="A20" s="145" t="s">
        <v>151</v>
      </c>
      <c r="B20" s="146">
        <v>652</v>
      </c>
    </row>
    <row r="21" spans="1:2" x14ac:dyDescent="0.2">
      <c r="A21" s="145" t="s">
        <v>150</v>
      </c>
      <c r="B21" s="146">
        <v>708</v>
      </c>
    </row>
    <row r="22" spans="1:2" x14ac:dyDescent="0.2">
      <c r="A22" s="145" t="s">
        <v>157</v>
      </c>
      <c r="B22" s="146">
        <v>207</v>
      </c>
    </row>
    <row r="23" spans="1:2" x14ac:dyDescent="0.2">
      <c r="A23" s="145" t="s">
        <v>153</v>
      </c>
      <c r="B23" s="146">
        <v>287</v>
      </c>
    </row>
    <row r="24" spans="1:2" x14ac:dyDescent="0.2">
      <c r="A24" s="145" t="s">
        <v>151</v>
      </c>
      <c r="B24" s="146">
        <v>0</v>
      </c>
    </row>
    <row r="25" spans="1:2" x14ac:dyDescent="0.2">
      <c r="A25" s="145" t="s">
        <v>151</v>
      </c>
      <c r="B25" s="146">
        <v>101</v>
      </c>
    </row>
    <row r="26" spans="1:2" x14ac:dyDescent="0.2">
      <c r="A26" s="145" t="s">
        <v>151</v>
      </c>
      <c r="B26" s="146">
        <v>0</v>
      </c>
    </row>
    <row r="27" spans="1:2" x14ac:dyDescent="0.2">
      <c r="A27" s="145" t="s">
        <v>151</v>
      </c>
      <c r="B27" s="146">
        <v>0</v>
      </c>
    </row>
    <row r="28" spans="1:2" x14ac:dyDescent="0.2">
      <c r="A28" s="145" t="s">
        <v>150</v>
      </c>
      <c r="B28" s="146">
        <v>0</v>
      </c>
    </row>
    <row r="29" spans="1:2" x14ac:dyDescent="0.2">
      <c r="A29" s="145" t="s">
        <v>155</v>
      </c>
      <c r="B29" s="146">
        <v>141</v>
      </c>
    </row>
    <row r="30" spans="1:2" x14ac:dyDescent="0.2">
      <c r="A30" s="145" t="s">
        <v>154</v>
      </c>
      <c r="B30" s="146">
        <v>0</v>
      </c>
    </row>
    <row r="31" spans="1:2" x14ac:dyDescent="0.2">
      <c r="A31" s="145" t="s">
        <v>154</v>
      </c>
      <c r="B31" s="146">
        <v>2484</v>
      </c>
    </row>
    <row r="32" spans="1:2" x14ac:dyDescent="0.2">
      <c r="A32" s="145" t="s">
        <v>152</v>
      </c>
      <c r="B32" s="146">
        <v>237</v>
      </c>
    </row>
    <row r="33" spans="1:2" x14ac:dyDescent="0.2">
      <c r="A33" s="145" t="s">
        <v>152</v>
      </c>
      <c r="B33" s="146">
        <v>0</v>
      </c>
    </row>
    <row r="34" spans="1:2" x14ac:dyDescent="0.2">
      <c r="A34" s="145" t="s">
        <v>153</v>
      </c>
      <c r="B34" s="146">
        <v>335</v>
      </c>
    </row>
    <row r="35" spans="1:2" x14ac:dyDescent="0.2">
      <c r="A35" s="145" t="s">
        <v>152</v>
      </c>
      <c r="B35" s="146">
        <v>3565</v>
      </c>
    </row>
    <row r="36" spans="1:2" x14ac:dyDescent="0.2">
      <c r="A36" s="145" t="s">
        <v>152</v>
      </c>
      <c r="B36" s="146">
        <v>0</v>
      </c>
    </row>
    <row r="37" spans="1:2" x14ac:dyDescent="0.2">
      <c r="A37" s="145" t="s">
        <v>155</v>
      </c>
      <c r="B37" s="146">
        <v>16647</v>
      </c>
    </row>
    <row r="38" spans="1:2" x14ac:dyDescent="0.2">
      <c r="A38" s="145" t="s">
        <v>155</v>
      </c>
      <c r="B38" s="146">
        <v>0</v>
      </c>
    </row>
    <row r="39" spans="1:2" x14ac:dyDescent="0.2">
      <c r="A39" s="145" t="s">
        <v>152</v>
      </c>
      <c r="B39" s="146">
        <v>0</v>
      </c>
    </row>
    <row r="40" spans="1:2" x14ac:dyDescent="0.2">
      <c r="A40" s="145" t="s">
        <v>151</v>
      </c>
      <c r="B40" s="146">
        <v>0</v>
      </c>
    </row>
    <row r="41" spans="1:2" x14ac:dyDescent="0.2">
      <c r="A41" s="145" t="s">
        <v>152</v>
      </c>
      <c r="B41" s="146">
        <v>940</v>
      </c>
    </row>
    <row r="42" spans="1:2" x14ac:dyDescent="0.2">
      <c r="A42" s="145" t="s">
        <v>152</v>
      </c>
      <c r="B42" s="146">
        <v>0</v>
      </c>
    </row>
    <row r="43" spans="1:2" x14ac:dyDescent="0.2">
      <c r="A43" s="145" t="s">
        <v>150</v>
      </c>
      <c r="B43" s="146">
        <v>0</v>
      </c>
    </row>
    <row r="44" spans="1:2" x14ac:dyDescent="0.2">
      <c r="A44" s="145" t="s">
        <v>158</v>
      </c>
      <c r="B44" s="146">
        <v>218</v>
      </c>
    </row>
    <row r="45" spans="1:2" x14ac:dyDescent="0.2">
      <c r="A45" s="145" t="s">
        <v>154</v>
      </c>
      <c r="B45" s="146">
        <v>0</v>
      </c>
    </row>
    <row r="46" spans="1:2" x14ac:dyDescent="0.2">
      <c r="A46" s="145" t="s">
        <v>152</v>
      </c>
      <c r="B46" s="146">
        <v>16935</v>
      </c>
    </row>
    <row r="47" spans="1:2" x14ac:dyDescent="0.2">
      <c r="A47" s="145" t="s">
        <v>151</v>
      </c>
      <c r="B47" s="146">
        <v>664</v>
      </c>
    </row>
    <row r="48" spans="1:2" x14ac:dyDescent="0.2">
      <c r="A48" s="145" t="s">
        <v>151</v>
      </c>
      <c r="B48" s="146">
        <v>150</v>
      </c>
    </row>
    <row r="49" spans="1:2" x14ac:dyDescent="0.2">
      <c r="A49" s="145" t="s">
        <v>152</v>
      </c>
      <c r="B49" s="146">
        <v>0</v>
      </c>
    </row>
    <row r="50" spans="1:2" x14ac:dyDescent="0.2">
      <c r="A50" s="145" t="s">
        <v>151</v>
      </c>
      <c r="B50" s="146">
        <v>216</v>
      </c>
    </row>
    <row r="51" spans="1:2" x14ac:dyDescent="0.2">
      <c r="A51" s="145" t="s">
        <v>150</v>
      </c>
      <c r="B51" s="146">
        <v>0</v>
      </c>
    </row>
    <row r="52" spans="1:2" x14ac:dyDescent="0.2">
      <c r="A52" s="145" t="s">
        <v>155</v>
      </c>
      <c r="B52" s="146">
        <v>0</v>
      </c>
    </row>
    <row r="53" spans="1:2" x14ac:dyDescent="0.2">
      <c r="A53" s="145" t="s">
        <v>152</v>
      </c>
      <c r="B53" s="146">
        <v>0</v>
      </c>
    </row>
    <row r="54" spans="1:2" x14ac:dyDescent="0.2">
      <c r="A54" s="145" t="s">
        <v>152</v>
      </c>
      <c r="B54" s="146">
        <v>265</v>
      </c>
    </row>
    <row r="55" spans="1:2" x14ac:dyDescent="0.2">
      <c r="A55" s="145" t="s">
        <v>151</v>
      </c>
      <c r="B55" s="146">
        <v>4256</v>
      </c>
    </row>
    <row r="56" spans="1:2" x14ac:dyDescent="0.2">
      <c r="A56" s="145" t="s">
        <v>155</v>
      </c>
      <c r="B56" s="146">
        <v>870</v>
      </c>
    </row>
    <row r="57" spans="1:2" x14ac:dyDescent="0.2">
      <c r="A57" s="145" t="s">
        <v>150</v>
      </c>
      <c r="B57" s="146">
        <v>162</v>
      </c>
    </row>
    <row r="58" spans="1:2" x14ac:dyDescent="0.2">
      <c r="A58" s="145" t="s">
        <v>154</v>
      </c>
      <c r="B58" s="146">
        <v>0</v>
      </c>
    </row>
    <row r="59" spans="1:2" x14ac:dyDescent="0.2">
      <c r="A59" s="145" t="s">
        <v>153</v>
      </c>
      <c r="B59" s="146">
        <v>0</v>
      </c>
    </row>
    <row r="60" spans="1:2" x14ac:dyDescent="0.2">
      <c r="A60" s="145" t="s">
        <v>151</v>
      </c>
      <c r="B60" s="146">
        <v>0</v>
      </c>
    </row>
    <row r="61" spans="1:2" x14ac:dyDescent="0.2">
      <c r="A61" s="145" t="s">
        <v>150</v>
      </c>
      <c r="B61" s="146">
        <v>461</v>
      </c>
    </row>
    <row r="62" spans="1:2" x14ac:dyDescent="0.2">
      <c r="A62" s="145" t="s">
        <v>150</v>
      </c>
      <c r="B62" s="146">
        <v>0</v>
      </c>
    </row>
    <row r="63" spans="1:2" x14ac:dyDescent="0.2">
      <c r="A63" s="145" t="s">
        <v>151</v>
      </c>
      <c r="B63" s="146">
        <v>0</v>
      </c>
    </row>
    <row r="64" spans="1:2" x14ac:dyDescent="0.2">
      <c r="A64" s="145" t="s">
        <v>150</v>
      </c>
      <c r="B64" s="146">
        <v>0</v>
      </c>
    </row>
    <row r="65" spans="1:2" x14ac:dyDescent="0.2">
      <c r="A65" s="145" t="s">
        <v>150</v>
      </c>
      <c r="B65" s="146">
        <v>580</v>
      </c>
    </row>
    <row r="66" spans="1:2" x14ac:dyDescent="0.2">
      <c r="A66" s="145" t="s">
        <v>152</v>
      </c>
      <c r="B66" s="146">
        <v>0</v>
      </c>
    </row>
    <row r="67" spans="1:2" x14ac:dyDescent="0.2">
      <c r="A67" s="145" t="s">
        <v>150</v>
      </c>
      <c r="B67" s="146">
        <v>0</v>
      </c>
    </row>
    <row r="68" spans="1:2" x14ac:dyDescent="0.2">
      <c r="A68" s="145" t="s">
        <v>152</v>
      </c>
      <c r="B68" s="146">
        <v>0</v>
      </c>
    </row>
    <row r="69" spans="1:2" x14ac:dyDescent="0.2">
      <c r="A69" s="145" t="s">
        <v>152</v>
      </c>
      <c r="B69" s="146">
        <v>0</v>
      </c>
    </row>
    <row r="70" spans="1:2" x14ac:dyDescent="0.2">
      <c r="A70" s="145" t="s">
        <v>155</v>
      </c>
      <c r="B70" s="146">
        <v>758</v>
      </c>
    </row>
    <row r="71" spans="1:2" x14ac:dyDescent="0.2">
      <c r="A71" s="145" t="s">
        <v>154</v>
      </c>
      <c r="B71" s="146">
        <v>399</v>
      </c>
    </row>
    <row r="72" spans="1:2" x14ac:dyDescent="0.2">
      <c r="A72" s="145" t="s">
        <v>151</v>
      </c>
      <c r="B72" s="146">
        <v>513</v>
      </c>
    </row>
    <row r="73" spans="1:2" x14ac:dyDescent="0.2">
      <c r="A73" s="145" t="s">
        <v>151</v>
      </c>
      <c r="B73" s="146">
        <v>0</v>
      </c>
    </row>
    <row r="74" spans="1:2" x14ac:dyDescent="0.2">
      <c r="A74" s="145" t="s">
        <v>150</v>
      </c>
      <c r="B74" s="146">
        <v>0</v>
      </c>
    </row>
    <row r="75" spans="1:2" x14ac:dyDescent="0.2">
      <c r="A75" s="145" t="s">
        <v>152</v>
      </c>
      <c r="B75" s="146">
        <v>565</v>
      </c>
    </row>
    <row r="76" spans="1:2" x14ac:dyDescent="0.2">
      <c r="A76" s="145" t="s">
        <v>155</v>
      </c>
      <c r="B76" s="146">
        <v>0</v>
      </c>
    </row>
    <row r="77" spans="1:2" x14ac:dyDescent="0.2">
      <c r="A77" s="145" t="s">
        <v>151</v>
      </c>
      <c r="B77" s="146">
        <v>0</v>
      </c>
    </row>
    <row r="78" spans="1:2" x14ac:dyDescent="0.2">
      <c r="A78" s="145" t="s">
        <v>152</v>
      </c>
      <c r="B78" s="146">
        <v>0</v>
      </c>
    </row>
    <row r="79" spans="1:2" x14ac:dyDescent="0.2">
      <c r="A79" s="145" t="s">
        <v>150</v>
      </c>
      <c r="B79" s="146">
        <v>166</v>
      </c>
    </row>
    <row r="80" spans="1:2" x14ac:dyDescent="0.2">
      <c r="A80" s="145" t="s">
        <v>155</v>
      </c>
      <c r="B80" s="146">
        <v>9783</v>
      </c>
    </row>
    <row r="81" spans="1:2" x14ac:dyDescent="0.2">
      <c r="A81" s="145" t="s">
        <v>155</v>
      </c>
      <c r="B81" s="146">
        <v>674</v>
      </c>
    </row>
    <row r="82" spans="1:2" x14ac:dyDescent="0.2">
      <c r="A82" s="145" t="s">
        <v>157</v>
      </c>
      <c r="B82" s="146">
        <v>0</v>
      </c>
    </row>
    <row r="83" spans="1:2" x14ac:dyDescent="0.2">
      <c r="A83" s="145" t="s">
        <v>155</v>
      </c>
      <c r="B83" s="146">
        <v>15328</v>
      </c>
    </row>
    <row r="84" spans="1:2" x14ac:dyDescent="0.2">
      <c r="A84" s="145" t="s">
        <v>150</v>
      </c>
      <c r="B84" s="146">
        <v>0</v>
      </c>
    </row>
    <row r="85" spans="1:2" x14ac:dyDescent="0.2">
      <c r="A85" s="145" t="s">
        <v>153</v>
      </c>
      <c r="B85" s="146">
        <v>713</v>
      </c>
    </row>
    <row r="86" spans="1:2" x14ac:dyDescent="0.2">
      <c r="A86" s="145" t="s">
        <v>150</v>
      </c>
      <c r="B86" s="146">
        <v>0</v>
      </c>
    </row>
    <row r="87" spans="1:2" x14ac:dyDescent="0.2">
      <c r="A87" s="145" t="s">
        <v>153</v>
      </c>
      <c r="B87" s="146">
        <v>0</v>
      </c>
    </row>
    <row r="88" spans="1:2" x14ac:dyDescent="0.2">
      <c r="A88" s="145" t="s">
        <v>150</v>
      </c>
      <c r="B88" s="146">
        <v>0</v>
      </c>
    </row>
    <row r="89" spans="1:2" x14ac:dyDescent="0.2">
      <c r="A89" s="145" t="s">
        <v>152</v>
      </c>
      <c r="B89" s="146">
        <v>0</v>
      </c>
    </row>
    <row r="90" spans="1:2" x14ac:dyDescent="0.2">
      <c r="A90" s="145" t="s">
        <v>154</v>
      </c>
      <c r="B90" s="146">
        <v>0</v>
      </c>
    </row>
    <row r="91" spans="1:2" x14ac:dyDescent="0.2">
      <c r="A91" s="145" t="s">
        <v>152</v>
      </c>
      <c r="B91" s="146">
        <v>303</v>
      </c>
    </row>
    <row r="92" spans="1:2" x14ac:dyDescent="0.2">
      <c r="A92" s="145" t="s">
        <v>152</v>
      </c>
      <c r="B92" s="146">
        <v>900</v>
      </c>
    </row>
    <row r="93" spans="1:2" x14ac:dyDescent="0.2">
      <c r="A93" s="145" t="s">
        <v>151</v>
      </c>
      <c r="B93" s="146">
        <v>0</v>
      </c>
    </row>
    <row r="94" spans="1:2" x14ac:dyDescent="0.2">
      <c r="A94" s="145" t="s">
        <v>153</v>
      </c>
      <c r="B94" s="146">
        <v>1257</v>
      </c>
    </row>
    <row r="95" spans="1:2" x14ac:dyDescent="0.2">
      <c r="A95" s="145" t="s">
        <v>152</v>
      </c>
      <c r="B95" s="146">
        <v>0</v>
      </c>
    </row>
    <row r="96" spans="1:2" x14ac:dyDescent="0.2">
      <c r="A96" s="145" t="s">
        <v>157</v>
      </c>
      <c r="B96" s="146">
        <v>273</v>
      </c>
    </row>
    <row r="97" spans="1:2" x14ac:dyDescent="0.2">
      <c r="A97" s="145" t="s">
        <v>155</v>
      </c>
      <c r="B97" s="146">
        <v>522</v>
      </c>
    </row>
    <row r="98" spans="1:2" x14ac:dyDescent="0.2">
      <c r="A98" s="145" t="s">
        <v>152</v>
      </c>
      <c r="B98" s="146">
        <v>0</v>
      </c>
    </row>
    <row r="99" spans="1:2" x14ac:dyDescent="0.2">
      <c r="A99" s="145" t="s">
        <v>152</v>
      </c>
      <c r="B99" s="146">
        <v>0</v>
      </c>
    </row>
    <row r="100" spans="1:2" x14ac:dyDescent="0.2">
      <c r="A100" s="145" t="s">
        <v>152</v>
      </c>
      <c r="B100" s="146">
        <v>0</v>
      </c>
    </row>
    <row r="101" spans="1:2" x14ac:dyDescent="0.2">
      <c r="A101" s="145" t="s">
        <v>150</v>
      </c>
      <c r="B101" s="146">
        <v>0</v>
      </c>
    </row>
    <row r="102" spans="1:2" x14ac:dyDescent="0.2">
      <c r="A102" s="145" t="s">
        <v>152</v>
      </c>
      <c r="B102" s="146">
        <v>514</v>
      </c>
    </row>
    <row r="103" spans="1:2" x14ac:dyDescent="0.2">
      <c r="A103" s="145" t="s">
        <v>151</v>
      </c>
      <c r="B103" s="146">
        <v>457</v>
      </c>
    </row>
    <row r="104" spans="1:2" x14ac:dyDescent="0.2">
      <c r="A104" s="145" t="s">
        <v>152</v>
      </c>
      <c r="B104" s="146">
        <v>5133</v>
      </c>
    </row>
    <row r="105" spans="1:2" x14ac:dyDescent="0.2">
      <c r="A105" s="145" t="s">
        <v>150</v>
      </c>
      <c r="B105" s="146">
        <v>0</v>
      </c>
    </row>
    <row r="106" spans="1:2" x14ac:dyDescent="0.2">
      <c r="A106" s="145" t="s">
        <v>159</v>
      </c>
      <c r="B106" s="146">
        <v>644</v>
      </c>
    </row>
    <row r="107" spans="1:2" x14ac:dyDescent="0.2">
      <c r="A107" s="145" t="s">
        <v>151</v>
      </c>
      <c r="B107" s="146">
        <v>305</v>
      </c>
    </row>
    <row r="108" spans="1:2" x14ac:dyDescent="0.2">
      <c r="A108" s="145" t="s">
        <v>150</v>
      </c>
      <c r="B108" s="146">
        <v>9621</v>
      </c>
    </row>
    <row r="109" spans="1:2" x14ac:dyDescent="0.2">
      <c r="A109" s="145" t="s">
        <v>153</v>
      </c>
      <c r="B109" s="146">
        <v>0</v>
      </c>
    </row>
    <row r="110" spans="1:2" x14ac:dyDescent="0.2">
      <c r="A110" s="145" t="s">
        <v>155</v>
      </c>
      <c r="B110" s="146">
        <v>0</v>
      </c>
    </row>
    <row r="111" spans="1:2" x14ac:dyDescent="0.2">
      <c r="A111" s="145" t="s">
        <v>151</v>
      </c>
      <c r="B111" s="146">
        <v>0</v>
      </c>
    </row>
    <row r="112" spans="1:2" x14ac:dyDescent="0.2">
      <c r="A112" s="145" t="s">
        <v>150</v>
      </c>
      <c r="B112" s="146">
        <v>0</v>
      </c>
    </row>
    <row r="113" spans="1:2" x14ac:dyDescent="0.2">
      <c r="A113" s="145" t="s">
        <v>154</v>
      </c>
      <c r="B113" s="146">
        <v>0</v>
      </c>
    </row>
    <row r="114" spans="1:2" x14ac:dyDescent="0.2">
      <c r="A114" s="145" t="s">
        <v>152</v>
      </c>
      <c r="B114" s="146">
        <v>6851</v>
      </c>
    </row>
    <row r="115" spans="1:2" x14ac:dyDescent="0.2">
      <c r="A115" s="145" t="s">
        <v>151</v>
      </c>
      <c r="B115" s="146">
        <v>13496</v>
      </c>
    </row>
    <row r="116" spans="1:2" x14ac:dyDescent="0.2">
      <c r="A116" s="145" t="s">
        <v>155</v>
      </c>
      <c r="B116" s="146">
        <v>509</v>
      </c>
    </row>
    <row r="117" spans="1:2" x14ac:dyDescent="0.2">
      <c r="A117" s="145" t="s">
        <v>154</v>
      </c>
      <c r="B117" s="146">
        <v>0</v>
      </c>
    </row>
    <row r="118" spans="1:2" x14ac:dyDescent="0.2">
      <c r="A118" s="145" t="s">
        <v>151</v>
      </c>
      <c r="B118" s="146">
        <v>19155</v>
      </c>
    </row>
    <row r="119" spans="1:2" x14ac:dyDescent="0.2">
      <c r="A119" s="145" t="s">
        <v>151</v>
      </c>
      <c r="B119" s="146">
        <v>0</v>
      </c>
    </row>
    <row r="120" spans="1:2" x14ac:dyDescent="0.2">
      <c r="A120" s="145" t="s">
        <v>152</v>
      </c>
      <c r="B120" s="146">
        <v>0</v>
      </c>
    </row>
    <row r="121" spans="1:2" x14ac:dyDescent="0.2">
      <c r="A121" s="145" t="s">
        <v>154</v>
      </c>
      <c r="B121" s="146">
        <v>374</v>
      </c>
    </row>
    <row r="122" spans="1:2" x14ac:dyDescent="0.2">
      <c r="A122" s="145" t="s">
        <v>156</v>
      </c>
      <c r="B122" s="146">
        <v>0</v>
      </c>
    </row>
    <row r="123" spans="1:2" x14ac:dyDescent="0.2">
      <c r="A123" s="145" t="s">
        <v>151</v>
      </c>
      <c r="B123" s="146">
        <v>828</v>
      </c>
    </row>
    <row r="124" spans="1:2" x14ac:dyDescent="0.2">
      <c r="A124" s="145" t="s">
        <v>151</v>
      </c>
      <c r="B124" s="146">
        <v>0</v>
      </c>
    </row>
    <row r="125" spans="1:2" x14ac:dyDescent="0.2">
      <c r="A125" s="145" t="s">
        <v>152</v>
      </c>
      <c r="B125" s="146">
        <v>829</v>
      </c>
    </row>
    <row r="126" spans="1:2" x14ac:dyDescent="0.2">
      <c r="A126" s="145" t="s">
        <v>152</v>
      </c>
      <c r="B126" s="146">
        <v>0</v>
      </c>
    </row>
    <row r="127" spans="1:2" x14ac:dyDescent="0.2">
      <c r="A127" s="145" t="s">
        <v>151</v>
      </c>
      <c r="B127" s="146">
        <v>0</v>
      </c>
    </row>
    <row r="128" spans="1:2" x14ac:dyDescent="0.2">
      <c r="A128" s="145" t="s">
        <v>150</v>
      </c>
      <c r="B128" s="146">
        <v>939</v>
      </c>
    </row>
    <row r="129" spans="1:2" x14ac:dyDescent="0.2">
      <c r="A129" s="145" t="s">
        <v>150</v>
      </c>
      <c r="B129" s="146">
        <v>0</v>
      </c>
    </row>
    <row r="130" spans="1:2" x14ac:dyDescent="0.2">
      <c r="A130" s="145" t="s">
        <v>150</v>
      </c>
      <c r="B130" s="146">
        <v>889</v>
      </c>
    </row>
    <row r="131" spans="1:2" x14ac:dyDescent="0.2">
      <c r="A131" s="145" t="s">
        <v>151</v>
      </c>
      <c r="B131" s="146">
        <v>876</v>
      </c>
    </row>
    <row r="132" spans="1:2" x14ac:dyDescent="0.2">
      <c r="A132" s="145" t="s">
        <v>152</v>
      </c>
      <c r="B132" s="146">
        <v>893</v>
      </c>
    </row>
    <row r="133" spans="1:2" x14ac:dyDescent="0.2">
      <c r="A133" s="145" t="s">
        <v>155</v>
      </c>
      <c r="B133" s="146">
        <v>12760</v>
      </c>
    </row>
    <row r="134" spans="1:2" x14ac:dyDescent="0.2">
      <c r="A134" s="145" t="s">
        <v>151</v>
      </c>
      <c r="B134" s="146">
        <v>0</v>
      </c>
    </row>
    <row r="135" spans="1:2" x14ac:dyDescent="0.2">
      <c r="A135" s="145" t="s">
        <v>152</v>
      </c>
      <c r="B135" s="146">
        <v>0</v>
      </c>
    </row>
    <row r="136" spans="1:2" x14ac:dyDescent="0.2">
      <c r="A136" s="145" t="s">
        <v>152</v>
      </c>
      <c r="B136" s="146">
        <v>959</v>
      </c>
    </row>
    <row r="137" spans="1:2" x14ac:dyDescent="0.2">
      <c r="A137" s="145" t="s">
        <v>152</v>
      </c>
      <c r="B137" s="146">
        <v>0</v>
      </c>
    </row>
    <row r="138" spans="1:2" x14ac:dyDescent="0.2">
      <c r="A138" s="145" t="s">
        <v>158</v>
      </c>
      <c r="B138" s="146">
        <v>0</v>
      </c>
    </row>
    <row r="139" spans="1:2" x14ac:dyDescent="0.2">
      <c r="A139" s="145" t="s">
        <v>155</v>
      </c>
      <c r="B139" s="146">
        <v>0</v>
      </c>
    </row>
    <row r="140" spans="1:2" x14ac:dyDescent="0.2">
      <c r="A140" s="145" t="s">
        <v>157</v>
      </c>
      <c r="B140" s="146">
        <v>0</v>
      </c>
    </row>
    <row r="141" spans="1:2" x14ac:dyDescent="0.2">
      <c r="A141" s="145" t="s">
        <v>150</v>
      </c>
      <c r="B141" s="146">
        <v>698</v>
      </c>
    </row>
    <row r="142" spans="1:2" x14ac:dyDescent="0.2">
      <c r="A142" s="145" t="s">
        <v>151</v>
      </c>
      <c r="B142" s="146">
        <v>0</v>
      </c>
    </row>
    <row r="143" spans="1:2" x14ac:dyDescent="0.2">
      <c r="A143" s="145" t="s">
        <v>151</v>
      </c>
      <c r="B143" s="146">
        <v>0</v>
      </c>
    </row>
    <row r="144" spans="1:2" x14ac:dyDescent="0.2">
      <c r="A144" s="145" t="s">
        <v>152</v>
      </c>
      <c r="B144" s="146">
        <v>0</v>
      </c>
    </row>
    <row r="145" spans="1:2" x14ac:dyDescent="0.2">
      <c r="A145" s="145" t="s">
        <v>152</v>
      </c>
      <c r="B145" s="146">
        <v>12974</v>
      </c>
    </row>
    <row r="146" spans="1:2" x14ac:dyDescent="0.2">
      <c r="A146" s="145" t="s">
        <v>151</v>
      </c>
      <c r="B146" s="146">
        <v>0</v>
      </c>
    </row>
    <row r="147" spans="1:2" x14ac:dyDescent="0.2">
      <c r="A147" s="145" t="s">
        <v>152</v>
      </c>
      <c r="B147" s="146">
        <v>317</v>
      </c>
    </row>
    <row r="148" spans="1:2" x14ac:dyDescent="0.2">
      <c r="A148" s="145" t="s">
        <v>155</v>
      </c>
      <c r="B148" s="146">
        <v>0</v>
      </c>
    </row>
    <row r="149" spans="1:2" x14ac:dyDescent="0.2">
      <c r="A149" s="145" t="s">
        <v>157</v>
      </c>
      <c r="B149" s="146">
        <v>0</v>
      </c>
    </row>
    <row r="150" spans="1:2" x14ac:dyDescent="0.2">
      <c r="A150" s="145" t="s">
        <v>152</v>
      </c>
      <c r="B150" s="146">
        <v>0</v>
      </c>
    </row>
    <row r="151" spans="1:2" x14ac:dyDescent="0.2">
      <c r="A151" s="145" t="s">
        <v>151</v>
      </c>
      <c r="B151" s="146">
        <v>192</v>
      </c>
    </row>
    <row r="152" spans="1:2" x14ac:dyDescent="0.2">
      <c r="A152" s="145" t="s">
        <v>150</v>
      </c>
      <c r="B152" s="146">
        <v>0</v>
      </c>
    </row>
    <row r="153" spans="1:2" x14ac:dyDescent="0.2">
      <c r="A153" s="145" t="s">
        <v>150</v>
      </c>
      <c r="B153" s="146">
        <v>0</v>
      </c>
    </row>
    <row r="154" spans="1:2" x14ac:dyDescent="0.2">
      <c r="A154" s="145" t="s">
        <v>154</v>
      </c>
      <c r="B154" s="146">
        <v>0</v>
      </c>
    </row>
    <row r="155" spans="1:2" x14ac:dyDescent="0.2">
      <c r="A155" s="145" t="s">
        <v>150</v>
      </c>
      <c r="B155" s="146">
        <v>0</v>
      </c>
    </row>
    <row r="156" spans="1:2" x14ac:dyDescent="0.2">
      <c r="A156" s="145" t="s">
        <v>154</v>
      </c>
      <c r="B156" s="146">
        <v>0</v>
      </c>
    </row>
    <row r="157" spans="1:2" x14ac:dyDescent="0.2">
      <c r="A157" s="145" t="s">
        <v>150</v>
      </c>
      <c r="B157" s="146">
        <v>942</v>
      </c>
    </row>
    <row r="158" spans="1:2" x14ac:dyDescent="0.2">
      <c r="A158" s="145" t="s">
        <v>152</v>
      </c>
      <c r="B158" s="146">
        <v>0</v>
      </c>
    </row>
    <row r="159" spans="1:2" x14ac:dyDescent="0.2">
      <c r="A159" s="145" t="s">
        <v>150</v>
      </c>
      <c r="B159" s="146">
        <v>3329</v>
      </c>
    </row>
    <row r="160" spans="1:2" x14ac:dyDescent="0.2">
      <c r="A160" s="145" t="s">
        <v>154</v>
      </c>
      <c r="B160" s="146">
        <v>0</v>
      </c>
    </row>
    <row r="161" spans="1:2" x14ac:dyDescent="0.2">
      <c r="A161" s="145" t="s">
        <v>153</v>
      </c>
      <c r="B161" s="146">
        <v>0</v>
      </c>
    </row>
    <row r="162" spans="1:2" x14ac:dyDescent="0.2">
      <c r="A162" s="145" t="s">
        <v>151</v>
      </c>
      <c r="B162" s="146">
        <v>0</v>
      </c>
    </row>
    <row r="163" spans="1:2" x14ac:dyDescent="0.2">
      <c r="A163" s="145" t="s">
        <v>156</v>
      </c>
      <c r="B163" s="146">
        <v>0</v>
      </c>
    </row>
    <row r="164" spans="1:2" x14ac:dyDescent="0.2">
      <c r="A164" s="145" t="s">
        <v>151</v>
      </c>
      <c r="B164" s="146">
        <v>0</v>
      </c>
    </row>
    <row r="165" spans="1:2" x14ac:dyDescent="0.2">
      <c r="A165" s="145" t="s">
        <v>151</v>
      </c>
      <c r="B165" s="146">
        <v>0</v>
      </c>
    </row>
    <row r="166" spans="1:2" x14ac:dyDescent="0.2">
      <c r="A166" s="145" t="s">
        <v>155</v>
      </c>
      <c r="B166" s="146">
        <v>339</v>
      </c>
    </row>
    <row r="167" spans="1:2" x14ac:dyDescent="0.2">
      <c r="A167" s="145" t="s">
        <v>154</v>
      </c>
      <c r="B167" s="146">
        <v>0</v>
      </c>
    </row>
    <row r="168" spans="1:2" x14ac:dyDescent="0.2">
      <c r="A168" s="145" t="s">
        <v>152</v>
      </c>
      <c r="B168" s="146">
        <v>0</v>
      </c>
    </row>
    <row r="169" spans="1:2" x14ac:dyDescent="0.2">
      <c r="A169" s="145" t="s">
        <v>152</v>
      </c>
      <c r="B169" s="146">
        <v>0</v>
      </c>
    </row>
    <row r="170" spans="1:2" x14ac:dyDescent="0.2">
      <c r="A170" s="145" t="s">
        <v>154</v>
      </c>
      <c r="B170" s="146">
        <v>105</v>
      </c>
    </row>
    <row r="171" spans="1:2" x14ac:dyDescent="0.2">
      <c r="A171" s="145" t="s">
        <v>152</v>
      </c>
      <c r="B171" s="146">
        <v>0</v>
      </c>
    </row>
    <row r="172" spans="1:2" x14ac:dyDescent="0.2">
      <c r="A172" s="145" t="s">
        <v>157</v>
      </c>
      <c r="B172" s="146">
        <v>216</v>
      </c>
    </row>
    <row r="173" spans="1:2" x14ac:dyDescent="0.2">
      <c r="A173" s="145" t="s">
        <v>151</v>
      </c>
      <c r="B173" s="146">
        <v>113</v>
      </c>
    </row>
    <row r="174" spans="1:2" x14ac:dyDescent="0.2">
      <c r="A174" s="145" t="s">
        <v>154</v>
      </c>
      <c r="B174" s="146">
        <v>109</v>
      </c>
    </row>
    <row r="175" spans="1:2" x14ac:dyDescent="0.2">
      <c r="A175" s="145" t="s">
        <v>150</v>
      </c>
      <c r="B175" s="146">
        <v>0</v>
      </c>
    </row>
    <row r="176" spans="1:2" x14ac:dyDescent="0.2">
      <c r="A176" s="145" t="s">
        <v>150</v>
      </c>
      <c r="B176" s="146">
        <v>0</v>
      </c>
    </row>
    <row r="177" spans="1:2" x14ac:dyDescent="0.2">
      <c r="A177" s="145" t="s">
        <v>150</v>
      </c>
      <c r="B177" s="146">
        <v>8176</v>
      </c>
    </row>
    <row r="178" spans="1:2" x14ac:dyDescent="0.2">
      <c r="A178" s="145" t="s">
        <v>157</v>
      </c>
      <c r="B178" s="146">
        <v>0</v>
      </c>
    </row>
    <row r="179" spans="1:2" x14ac:dyDescent="0.2">
      <c r="A179" s="145" t="s">
        <v>151</v>
      </c>
      <c r="B179" s="146">
        <v>468</v>
      </c>
    </row>
    <row r="180" spans="1:2" x14ac:dyDescent="0.2">
      <c r="A180" s="145" t="s">
        <v>154</v>
      </c>
      <c r="B180" s="146">
        <v>7885</v>
      </c>
    </row>
    <row r="181" spans="1:2" x14ac:dyDescent="0.2">
      <c r="A181" s="145" t="s">
        <v>152</v>
      </c>
      <c r="B181" s="146">
        <v>0</v>
      </c>
    </row>
    <row r="182" spans="1:2" x14ac:dyDescent="0.2">
      <c r="A182" s="145" t="s">
        <v>150</v>
      </c>
      <c r="B182" s="146">
        <v>0</v>
      </c>
    </row>
    <row r="183" spans="1:2" x14ac:dyDescent="0.2">
      <c r="A183" s="145" t="s">
        <v>155</v>
      </c>
      <c r="B183" s="146">
        <v>0</v>
      </c>
    </row>
    <row r="184" spans="1:2" x14ac:dyDescent="0.2">
      <c r="A184" s="145" t="s">
        <v>152</v>
      </c>
      <c r="B184" s="146">
        <v>0</v>
      </c>
    </row>
    <row r="185" spans="1:2" x14ac:dyDescent="0.2">
      <c r="A185" s="145" t="s">
        <v>152</v>
      </c>
      <c r="B185" s="146">
        <v>0</v>
      </c>
    </row>
    <row r="186" spans="1:2" x14ac:dyDescent="0.2">
      <c r="A186" s="145" t="s">
        <v>155</v>
      </c>
      <c r="B186" s="146">
        <v>0</v>
      </c>
    </row>
    <row r="187" spans="1:2" x14ac:dyDescent="0.2">
      <c r="A187" s="145" t="s">
        <v>151</v>
      </c>
      <c r="B187" s="146">
        <v>0</v>
      </c>
    </row>
    <row r="188" spans="1:2" x14ac:dyDescent="0.2">
      <c r="A188" s="145" t="s">
        <v>151</v>
      </c>
      <c r="B188" s="146">
        <v>0</v>
      </c>
    </row>
    <row r="189" spans="1:2" x14ac:dyDescent="0.2">
      <c r="A189" s="145" t="s">
        <v>152</v>
      </c>
      <c r="B189" s="146">
        <v>0</v>
      </c>
    </row>
    <row r="190" spans="1:2" x14ac:dyDescent="0.2">
      <c r="A190" s="145" t="s">
        <v>152</v>
      </c>
      <c r="B190" s="146">
        <v>734</v>
      </c>
    </row>
    <row r="191" spans="1:2" x14ac:dyDescent="0.2">
      <c r="A191" s="145" t="s">
        <v>151</v>
      </c>
      <c r="B191" s="146">
        <v>0</v>
      </c>
    </row>
    <row r="192" spans="1:2" x14ac:dyDescent="0.2">
      <c r="A192" s="145" t="s">
        <v>154</v>
      </c>
      <c r="B192" s="146">
        <v>0</v>
      </c>
    </row>
    <row r="193" spans="1:2" x14ac:dyDescent="0.2">
      <c r="A193" s="145" t="s">
        <v>155</v>
      </c>
      <c r="B193" s="146">
        <v>172</v>
      </c>
    </row>
    <row r="194" spans="1:2" x14ac:dyDescent="0.2">
      <c r="A194" s="145" t="s">
        <v>150</v>
      </c>
      <c r="B194" s="146">
        <v>644</v>
      </c>
    </row>
    <row r="195" spans="1:2" x14ac:dyDescent="0.2">
      <c r="A195" s="145" t="s">
        <v>150</v>
      </c>
      <c r="B195" s="146">
        <v>0</v>
      </c>
    </row>
    <row r="196" spans="1:2" x14ac:dyDescent="0.2">
      <c r="A196" s="145" t="s">
        <v>151</v>
      </c>
      <c r="B196" s="146">
        <v>617</v>
      </c>
    </row>
    <row r="197" spans="1:2" x14ac:dyDescent="0.2">
      <c r="A197" s="145" t="s">
        <v>150</v>
      </c>
      <c r="B197" s="146">
        <v>0</v>
      </c>
    </row>
    <row r="198" spans="1:2" x14ac:dyDescent="0.2">
      <c r="A198" s="145" t="s">
        <v>152</v>
      </c>
      <c r="B198" s="146">
        <v>586</v>
      </c>
    </row>
    <row r="199" spans="1:2" x14ac:dyDescent="0.2">
      <c r="A199" s="145" t="s">
        <v>151</v>
      </c>
      <c r="B199" s="146">
        <v>0</v>
      </c>
    </row>
    <row r="200" spans="1:2" x14ac:dyDescent="0.2">
      <c r="A200" s="145" t="s">
        <v>152</v>
      </c>
      <c r="B200" s="146">
        <v>0</v>
      </c>
    </row>
    <row r="201" spans="1:2" x14ac:dyDescent="0.2">
      <c r="A201" s="145" t="s">
        <v>155</v>
      </c>
      <c r="B201" s="146">
        <v>0</v>
      </c>
    </row>
    <row r="202" spans="1:2" x14ac:dyDescent="0.2">
      <c r="A202" s="145" t="s">
        <v>152</v>
      </c>
      <c r="B202" s="146">
        <v>0</v>
      </c>
    </row>
    <row r="203" spans="1:2" x14ac:dyDescent="0.2">
      <c r="A203" s="145" t="s">
        <v>150</v>
      </c>
      <c r="B203" s="146">
        <v>0</v>
      </c>
    </row>
    <row r="204" spans="1:2" x14ac:dyDescent="0.2">
      <c r="A204" s="145" t="s">
        <v>153</v>
      </c>
      <c r="B204" s="146">
        <v>522</v>
      </c>
    </row>
    <row r="205" spans="1:2" x14ac:dyDescent="0.2">
      <c r="A205" s="145" t="s">
        <v>150</v>
      </c>
      <c r="B205" s="146">
        <v>585</v>
      </c>
    </row>
    <row r="206" spans="1:2" x14ac:dyDescent="0.2">
      <c r="A206" s="145" t="s">
        <v>150</v>
      </c>
      <c r="B206" s="146">
        <v>5588</v>
      </c>
    </row>
    <row r="207" spans="1:2" x14ac:dyDescent="0.2">
      <c r="A207" s="145" t="s">
        <v>150</v>
      </c>
      <c r="B207" s="146">
        <v>0</v>
      </c>
    </row>
    <row r="208" spans="1:2" x14ac:dyDescent="0.2">
      <c r="A208" s="145" t="s">
        <v>151</v>
      </c>
      <c r="B208" s="146">
        <v>352</v>
      </c>
    </row>
    <row r="209" spans="1:2" x14ac:dyDescent="0.2">
      <c r="A209" s="145" t="s">
        <v>152</v>
      </c>
      <c r="B209" s="146">
        <v>0</v>
      </c>
    </row>
    <row r="210" spans="1:2" x14ac:dyDescent="0.2">
      <c r="A210" s="145" t="s">
        <v>155</v>
      </c>
      <c r="B210" s="146">
        <v>2715</v>
      </c>
    </row>
    <row r="211" spans="1:2" x14ac:dyDescent="0.2">
      <c r="A211" s="145" t="s">
        <v>158</v>
      </c>
      <c r="B211" s="146">
        <v>560</v>
      </c>
    </row>
    <row r="212" spans="1:2" x14ac:dyDescent="0.2">
      <c r="A212" s="145" t="s">
        <v>152</v>
      </c>
      <c r="B212" s="146">
        <v>895</v>
      </c>
    </row>
    <row r="213" spans="1:2" x14ac:dyDescent="0.2">
      <c r="A213" s="145" t="s">
        <v>150</v>
      </c>
      <c r="B213" s="146">
        <v>305</v>
      </c>
    </row>
    <row r="214" spans="1:2" x14ac:dyDescent="0.2">
      <c r="A214" s="145" t="s">
        <v>152</v>
      </c>
      <c r="B214" s="146">
        <v>0</v>
      </c>
    </row>
    <row r="215" spans="1:2" x14ac:dyDescent="0.2">
      <c r="A215" s="145" t="s">
        <v>150</v>
      </c>
      <c r="B215" s="146">
        <v>0</v>
      </c>
    </row>
    <row r="216" spans="1:2" x14ac:dyDescent="0.2">
      <c r="A216" s="145" t="s">
        <v>151</v>
      </c>
      <c r="B216" s="146">
        <v>0</v>
      </c>
    </row>
    <row r="217" spans="1:2" x14ac:dyDescent="0.2">
      <c r="A217" s="145" t="s">
        <v>155</v>
      </c>
      <c r="B217" s="146">
        <v>8948</v>
      </c>
    </row>
    <row r="218" spans="1:2" x14ac:dyDescent="0.2">
      <c r="A218" s="145" t="s">
        <v>154</v>
      </c>
      <c r="B218" s="146">
        <v>0</v>
      </c>
    </row>
    <row r="219" spans="1:2" x14ac:dyDescent="0.2">
      <c r="A219" s="145" t="s">
        <v>154</v>
      </c>
      <c r="B219" s="146">
        <v>0</v>
      </c>
    </row>
    <row r="220" spans="1:2" x14ac:dyDescent="0.2">
      <c r="A220" s="145" t="s">
        <v>152</v>
      </c>
      <c r="B220" s="146">
        <v>0</v>
      </c>
    </row>
    <row r="221" spans="1:2" x14ac:dyDescent="0.2">
      <c r="A221" s="145" t="s">
        <v>152</v>
      </c>
      <c r="B221" s="146">
        <v>0</v>
      </c>
    </row>
    <row r="222" spans="1:2" x14ac:dyDescent="0.2">
      <c r="A222" s="145" t="s">
        <v>153</v>
      </c>
      <c r="B222" s="146">
        <v>0</v>
      </c>
    </row>
    <row r="223" spans="1:2" x14ac:dyDescent="0.2">
      <c r="A223" s="145" t="s">
        <v>152</v>
      </c>
      <c r="B223" s="146">
        <v>483</v>
      </c>
    </row>
    <row r="224" spans="1:2" x14ac:dyDescent="0.2">
      <c r="A224" s="145" t="s">
        <v>156</v>
      </c>
      <c r="B224" s="146">
        <v>0</v>
      </c>
    </row>
    <row r="225" spans="1:2" x14ac:dyDescent="0.2">
      <c r="A225" s="145" t="s">
        <v>153</v>
      </c>
      <c r="B225" s="146">
        <v>0</v>
      </c>
    </row>
    <row r="226" spans="1:2" x14ac:dyDescent="0.2">
      <c r="A226" s="145" t="s">
        <v>151</v>
      </c>
      <c r="B226" s="146">
        <v>0</v>
      </c>
    </row>
    <row r="227" spans="1:2" x14ac:dyDescent="0.2">
      <c r="A227" s="145" t="s">
        <v>155</v>
      </c>
      <c r="B227" s="146">
        <v>663</v>
      </c>
    </row>
    <row r="228" spans="1:2" x14ac:dyDescent="0.2">
      <c r="A228" s="145" t="s">
        <v>150</v>
      </c>
      <c r="B228" s="146">
        <v>624</v>
      </c>
    </row>
    <row r="229" spans="1:2" x14ac:dyDescent="0.2">
      <c r="A229" s="145" t="s">
        <v>157</v>
      </c>
      <c r="B229" s="146">
        <v>0</v>
      </c>
    </row>
    <row r="230" spans="1:2" x14ac:dyDescent="0.2">
      <c r="A230" s="145" t="s">
        <v>151</v>
      </c>
      <c r="B230" s="146">
        <v>0</v>
      </c>
    </row>
    <row r="231" spans="1:2" x14ac:dyDescent="0.2">
      <c r="A231" s="145" t="s">
        <v>152</v>
      </c>
      <c r="B231" s="146">
        <v>152</v>
      </c>
    </row>
    <row r="232" spans="1:2" x14ac:dyDescent="0.2">
      <c r="A232" s="145" t="s">
        <v>150</v>
      </c>
      <c r="B232" s="146">
        <v>0</v>
      </c>
    </row>
    <row r="233" spans="1:2" x14ac:dyDescent="0.2">
      <c r="A233" s="145" t="s">
        <v>152</v>
      </c>
      <c r="B233" s="146">
        <v>0</v>
      </c>
    </row>
    <row r="234" spans="1:2" x14ac:dyDescent="0.2">
      <c r="A234" s="145" t="s">
        <v>155</v>
      </c>
      <c r="B234" s="146">
        <v>498</v>
      </c>
    </row>
    <row r="235" spans="1:2" x14ac:dyDescent="0.2">
      <c r="A235" s="145" t="s">
        <v>150</v>
      </c>
      <c r="B235" s="146">
        <v>0</v>
      </c>
    </row>
    <row r="236" spans="1:2" x14ac:dyDescent="0.2">
      <c r="A236" s="145" t="s">
        <v>152</v>
      </c>
      <c r="B236" s="146">
        <v>156</v>
      </c>
    </row>
    <row r="237" spans="1:2" x14ac:dyDescent="0.2">
      <c r="A237" s="145" t="s">
        <v>154</v>
      </c>
      <c r="B237" s="146">
        <v>1336</v>
      </c>
    </row>
    <row r="238" spans="1:2" x14ac:dyDescent="0.2">
      <c r="A238" s="145" t="s">
        <v>150</v>
      </c>
      <c r="B238" s="146">
        <v>0</v>
      </c>
    </row>
    <row r="239" spans="1:2" x14ac:dyDescent="0.2">
      <c r="A239" s="145" t="s">
        <v>152</v>
      </c>
      <c r="B239" s="146">
        <v>0</v>
      </c>
    </row>
    <row r="240" spans="1:2" x14ac:dyDescent="0.2">
      <c r="A240" s="145" t="s">
        <v>151</v>
      </c>
      <c r="B240" s="146">
        <v>0</v>
      </c>
    </row>
    <row r="241" spans="1:2" x14ac:dyDescent="0.2">
      <c r="A241" s="145" t="s">
        <v>150</v>
      </c>
      <c r="B241" s="146">
        <v>2641</v>
      </c>
    </row>
    <row r="242" spans="1:2" x14ac:dyDescent="0.2">
      <c r="A242" s="145" t="s">
        <v>154</v>
      </c>
      <c r="B242" s="146">
        <v>0</v>
      </c>
    </row>
    <row r="243" spans="1:2" x14ac:dyDescent="0.2">
      <c r="A243" s="145" t="s">
        <v>155</v>
      </c>
      <c r="B243" s="146">
        <v>0</v>
      </c>
    </row>
    <row r="244" spans="1:2" x14ac:dyDescent="0.2">
      <c r="A244" s="145" t="s">
        <v>151</v>
      </c>
      <c r="B244" s="146">
        <v>0</v>
      </c>
    </row>
    <row r="245" spans="1:2" x14ac:dyDescent="0.2">
      <c r="A245" s="145" t="s">
        <v>154</v>
      </c>
      <c r="B245" s="146">
        <v>0</v>
      </c>
    </row>
    <row r="246" spans="1:2" x14ac:dyDescent="0.2">
      <c r="A246" s="145" t="s">
        <v>152</v>
      </c>
      <c r="B246" s="146">
        <v>0</v>
      </c>
    </row>
    <row r="247" spans="1:2" x14ac:dyDescent="0.2">
      <c r="A247" s="145" t="s">
        <v>152</v>
      </c>
      <c r="B247" s="146">
        <v>887</v>
      </c>
    </row>
    <row r="248" spans="1:2" x14ac:dyDescent="0.2">
      <c r="A248" s="145" t="s">
        <v>155</v>
      </c>
      <c r="B248" s="146">
        <v>0</v>
      </c>
    </row>
    <row r="249" spans="1:2" x14ac:dyDescent="0.2">
      <c r="A249" s="145" t="s">
        <v>151</v>
      </c>
      <c r="B249" s="146">
        <v>0</v>
      </c>
    </row>
    <row r="250" spans="1:2" x14ac:dyDescent="0.2">
      <c r="A250" s="145" t="s">
        <v>152</v>
      </c>
      <c r="B250" s="146">
        <v>0</v>
      </c>
    </row>
    <row r="251" spans="1:2" x14ac:dyDescent="0.2">
      <c r="A251" s="145" t="s">
        <v>152</v>
      </c>
      <c r="B251" s="146">
        <v>0</v>
      </c>
    </row>
    <row r="252" spans="1:2" x14ac:dyDescent="0.2">
      <c r="A252" s="145" t="s">
        <v>150</v>
      </c>
      <c r="B252" s="146">
        <v>18408</v>
      </c>
    </row>
    <row r="253" spans="1:2" x14ac:dyDescent="0.2">
      <c r="A253" s="145" t="s">
        <v>150</v>
      </c>
      <c r="B253" s="146">
        <v>497</v>
      </c>
    </row>
    <row r="254" spans="1:2" x14ac:dyDescent="0.2">
      <c r="A254" s="145" t="s">
        <v>154</v>
      </c>
      <c r="B254" s="146">
        <v>0</v>
      </c>
    </row>
    <row r="255" spans="1:2" x14ac:dyDescent="0.2">
      <c r="A255" s="145" t="s">
        <v>152</v>
      </c>
      <c r="B255" s="146">
        <v>946</v>
      </c>
    </row>
    <row r="256" spans="1:2" x14ac:dyDescent="0.2">
      <c r="A256" s="145" t="s">
        <v>155</v>
      </c>
      <c r="B256" s="146">
        <v>986</v>
      </c>
    </row>
    <row r="257" spans="1:2" x14ac:dyDescent="0.2">
      <c r="A257" s="145" t="s">
        <v>153</v>
      </c>
      <c r="B257" s="146">
        <v>8122</v>
      </c>
    </row>
    <row r="258" spans="1:2" x14ac:dyDescent="0.2">
      <c r="A258" s="145" t="s">
        <v>151</v>
      </c>
      <c r="B258" s="146">
        <v>0</v>
      </c>
    </row>
    <row r="259" spans="1:2" x14ac:dyDescent="0.2">
      <c r="A259" s="145" t="s">
        <v>155</v>
      </c>
      <c r="B259" s="146">
        <v>778</v>
      </c>
    </row>
    <row r="260" spans="1:2" x14ac:dyDescent="0.2">
      <c r="A260" s="145" t="s">
        <v>158</v>
      </c>
      <c r="B260" s="146">
        <v>645</v>
      </c>
    </row>
    <row r="261" spans="1:2" x14ac:dyDescent="0.2">
      <c r="A261" s="145" t="s">
        <v>151</v>
      </c>
      <c r="B261" s="146">
        <v>0</v>
      </c>
    </row>
    <row r="262" spans="1:2" x14ac:dyDescent="0.2">
      <c r="A262" s="145" t="s">
        <v>150</v>
      </c>
      <c r="B262" s="146">
        <v>682</v>
      </c>
    </row>
    <row r="263" spans="1:2" x14ac:dyDescent="0.2">
      <c r="A263" s="145" t="s">
        <v>150</v>
      </c>
      <c r="B263" s="146">
        <v>19812</v>
      </c>
    </row>
    <row r="264" spans="1:2" x14ac:dyDescent="0.2">
      <c r="A264" s="145" t="s">
        <v>155</v>
      </c>
      <c r="B264" s="146">
        <v>0</v>
      </c>
    </row>
    <row r="265" spans="1:2" x14ac:dyDescent="0.2">
      <c r="A265" s="145" t="s">
        <v>154</v>
      </c>
      <c r="B265" s="146">
        <v>0</v>
      </c>
    </row>
    <row r="266" spans="1:2" x14ac:dyDescent="0.2">
      <c r="A266" s="145" t="s">
        <v>155</v>
      </c>
      <c r="B266" s="146">
        <v>859</v>
      </c>
    </row>
    <row r="267" spans="1:2" x14ac:dyDescent="0.2">
      <c r="A267" s="145" t="s">
        <v>152</v>
      </c>
      <c r="B267" s="146">
        <v>0</v>
      </c>
    </row>
    <row r="268" spans="1:2" x14ac:dyDescent="0.2">
      <c r="A268" s="145" t="s">
        <v>150</v>
      </c>
      <c r="B268" s="146">
        <v>0</v>
      </c>
    </row>
    <row r="269" spans="1:2" x14ac:dyDescent="0.2">
      <c r="A269" s="145" t="s">
        <v>150</v>
      </c>
      <c r="B269" s="146">
        <v>0</v>
      </c>
    </row>
    <row r="270" spans="1:2" x14ac:dyDescent="0.2">
      <c r="A270" s="145" t="s">
        <v>151</v>
      </c>
      <c r="B270" s="146">
        <v>0</v>
      </c>
    </row>
    <row r="271" spans="1:2" x14ac:dyDescent="0.2">
      <c r="A271" s="145" t="s">
        <v>157</v>
      </c>
      <c r="B271" s="146">
        <v>0</v>
      </c>
    </row>
    <row r="272" spans="1:2" x14ac:dyDescent="0.2">
      <c r="A272" s="145" t="s">
        <v>152</v>
      </c>
      <c r="B272" s="146">
        <v>0</v>
      </c>
    </row>
    <row r="273" spans="1:2" x14ac:dyDescent="0.2">
      <c r="A273" s="145" t="s">
        <v>152</v>
      </c>
      <c r="B273" s="146">
        <v>795</v>
      </c>
    </row>
    <row r="274" spans="1:2" x14ac:dyDescent="0.2">
      <c r="A274" s="145" t="s">
        <v>151</v>
      </c>
      <c r="B274" s="146">
        <v>0</v>
      </c>
    </row>
    <row r="275" spans="1:2" x14ac:dyDescent="0.2">
      <c r="A275" s="145" t="s">
        <v>151</v>
      </c>
      <c r="B275" s="146">
        <v>0</v>
      </c>
    </row>
    <row r="276" spans="1:2" x14ac:dyDescent="0.2">
      <c r="A276" s="145" t="s">
        <v>151</v>
      </c>
      <c r="B276" s="146">
        <v>0</v>
      </c>
    </row>
    <row r="277" spans="1:2" x14ac:dyDescent="0.2">
      <c r="A277" s="145" t="s">
        <v>151</v>
      </c>
      <c r="B277" s="146">
        <v>0</v>
      </c>
    </row>
    <row r="278" spans="1:2" x14ac:dyDescent="0.2">
      <c r="A278" s="145" t="s">
        <v>158</v>
      </c>
      <c r="B278" s="146">
        <v>852</v>
      </c>
    </row>
    <row r="279" spans="1:2" x14ac:dyDescent="0.2">
      <c r="A279" s="145" t="s">
        <v>153</v>
      </c>
      <c r="B279" s="146">
        <v>0</v>
      </c>
    </row>
    <row r="280" spans="1:2" x14ac:dyDescent="0.2">
      <c r="A280" s="145" t="s">
        <v>152</v>
      </c>
      <c r="B280" s="146">
        <v>0</v>
      </c>
    </row>
    <row r="281" spans="1:2" x14ac:dyDescent="0.2">
      <c r="A281" s="145" t="s">
        <v>150</v>
      </c>
      <c r="B281" s="146">
        <v>425</v>
      </c>
    </row>
    <row r="282" spans="1:2" x14ac:dyDescent="0.2">
      <c r="A282" s="145" t="s">
        <v>155</v>
      </c>
      <c r="B282" s="146">
        <v>0</v>
      </c>
    </row>
    <row r="283" spans="1:2" x14ac:dyDescent="0.2">
      <c r="A283" s="145" t="s">
        <v>155</v>
      </c>
      <c r="B283" s="146">
        <v>0</v>
      </c>
    </row>
    <row r="284" spans="1:2" x14ac:dyDescent="0.2">
      <c r="A284" s="145" t="s">
        <v>153</v>
      </c>
      <c r="B284" s="146">
        <v>0</v>
      </c>
    </row>
    <row r="285" spans="1:2" x14ac:dyDescent="0.2">
      <c r="A285" s="145" t="s">
        <v>150</v>
      </c>
      <c r="B285" s="146">
        <v>11072</v>
      </c>
    </row>
    <row r="286" spans="1:2" x14ac:dyDescent="0.2">
      <c r="A286" s="145" t="s">
        <v>154</v>
      </c>
      <c r="B286" s="146">
        <v>0</v>
      </c>
    </row>
    <row r="287" spans="1:2" x14ac:dyDescent="0.2">
      <c r="A287" s="145" t="s">
        <v>154</v>
      </c>
      <c r="B287" s="146">
        <v>219</v>
      </c>
    </row>
    <row r="288" spans="1:2" x14ac:dyDescent="0.2">
      <c r="A288" s="145" t="s">
        <v>150</v>
      </c>
      <c r="B288" s="146">
        <v>8060</v>
      </c>
    </row>
    <row r="289" spans="1:2" x14ac:dyDescent="0.2">
      <c r="A289" s="145" t="s">
        <v>150</v>
      </c>
      <c r="B289" s="146">
        <v>0</v>
      </c>
    </row>
    <row r="290" spans="1:2" x14ac:dyDescent="0.2">
      <c r="A290" s="145" t="s">
        <v>150</v>
      </c>
      <c r="B290" s="146">
        <v>0</v>
      </c>
    </row>
    <row r="291" spans="1:2" x14ac:dyDescent="0.2">
      <c r="A291" s="145" t="s">
        <v>152</v>
      </c>
      <c r="B291" s="146">
        <v>0</v>
      </c>
    </row>
    <row r="292" spans="1:2" x14ac:dyDescent="0.2">
      <c r="A292" s="145" t="s">
        <v>150</v>
      </c>
      <c r="B292" s="146">
        <v>0</v>
      </c>
    </row>
    <row r="293" spans="1:2" x14ac:dyDescent="0.2">
      <c r="A293" s="145" t="s">
        <v>150</v>
      </c>
      <c r="B293" s="146">
        <v>1613</v>
      </c>
    </row>
    <row r="294" spans="1:2" x14ac:dyDescent="0.2">
      <c r="A294" s="145" t="s">
        <v>151</v>
      </c>
      <c r="B294" s="146">
        <v>757</v>
      </c>
    </row>
    <row r="295" spans="1:2" x14ac:dyDescent="0.2">
      <c r="A295" s="145" t="s">
        <v>159</v>
      </c>
      <c r="B295" s="146">
        <v>0</v>
      </c>
    </row>
    <row r="296" spans="1:2" x14ac:dyDescent="0.2">
      <c r="A296" s="145" t="s">
        <v>150</v>
      </c>
      <c r="B296" s="146">
        <v>0</v>
      </c>
    </row>
    <row r="297" spans="1:2" x14ac:dyDescent="0.2">
      <c r="A297" s="145" t="s">
        <v>153</v>
      </c>
      <c r="B297" s="146">
        <v>977</v>
      </c>
    </row>
    <row r="298" spans="1:2" x14ac:dyDescent="0.2">
      <c r="A298" s="145" t="s">
        <v>153</v>
      </c>
      <c r="B298" s="146">
        <v>197</v>
      </c>
    </row>
    <row r="299" spans="1:2" x14ac:dyDescent="0.2">
      <c r="A299" s="145" t="s">
        <v>151</v>
      </c>
      <c r="B299" s="146">
        <v>0</v>
      </c>
    </row>
    <row r="300" spans="1:2" x14ac:dyDescent="0.2">
      <c r="A300" s="145" t="s">
        <v>150</v>
      </c>
      <c r="B300" s="146">
        <v>0</v>
      </c>
    </row>
    <row r="301" spans="1:2" x14ac:dyDescent="0.2">
      <c r="A301" s="145" t="s">
        <v>152</v>
      </c>
      <c r="B301" s="146">
        <v>0</v>
      </c>
    </row>
    <row r="302" spans="1:2" x14ac:dyDescent="0.2">
      <c r="A302" s="145" t="s">
        <v>155</v>
      </c>
      <c r="B302" s="146">
        <v>0</v>
      </c>
    </row>
    <row r="303" spans="1:2" x14ac:dyDescent="0.2">
      <c r="A303" s="145" t="s">
        <v>150</v>
      </c>
      <c r="B303" s="146">
        <v>0</v>
      </c>
    </row>
    <row r="304" spans="1:2" x14ac:dyDescent="0.2">
      <c r="A304" s="145" t="s">
        <v>152</v>
      </c>
      <c r="B304" s="146">
        <v>256</v>
      </c>
    </row>
    <row r="305" spans="1:2" x14ac:dyDescent="0.2">
      <c r="A305" s="145" t="s">
        <v>150</v>
      </c>
      <c r="B305" s="146">
        <v>296</v>
      </c>
    </row>
    <row r="306" spans="1:2" x14ac:dyDescent="0.2">
      <c r="A306" s="145" t="s">
        <v>151</v>
      </c>
      <c r="B306" s="146">
        <v>0</v>
      </c>
    </row>
    <row r="307" spans="1:2" x14ac:dyDescent="0.2">
      <c r="A307" s="145" t="s">
        <v>150</v>
      </c>
      <c r="B307" s="146">
        <v>0</v>
      </c>
    </row>
    <row r="308" spans="1:2" x14ac:dyDescent="0.2">
      <c r="A308" s="145" t="s">
        <v>151</v>
      </c>
      <c r="B308" s="146">
        <v>0</v>
      </c>
    </row>
    <row r="309" spans="1:2" x14ac:dyDescent="0.2">
      <c r="A309" s="145" t="s">
        <v>152</v>
      </c>
      <c r="B309" s="146">
        <v>298</v>
      </c>
    </row>
    <row r="310" spans="1:2" x14ac:dyDescent="0.2">
      <c r="A310" s="145" t="s">
        <v>152</v>
      </c>
      <c r="B310" s="146">
        <v>0</v>
      </c>
    </row>
    <row r="311" spans="1:2" x14ac:dyDescent="0.2">
      <c r="A311" s="145" t="s">
        <v>151</v>
      </c>
      <c r="B311" s="146">
        <v>8636</v>
      </c>
    </row>
    <row r="312" spans="1:2" x14ac:dyDescent="0.2">
      <c r="A312" s="145" t="s">
        <v>150</v>
      </c>
      <c r="B312" s="146">
        <v>0</v>
      </c>
    </row>
    <row r="313" spans="1:2" x14ac:dyDescent="0.2">
      <c r="A313" s="145" t="s">
        <v>150</v>
      </c>
      <c r="B313" s="146">
        <v>0</v>
      </c>
    </row>
    <row r="314" spans="1:2" x14ac:dyDescent="0.2">
      <c r="A314" s="145" t="s">
        <v>150</v>
      </c>
      <c r="B314" s="146">
        <v>19766</v>
      </c>
    </row>
    <row r="315" spans="1:2" x14ac:dyDescent="0.2">
      <c r="A315" s="145" t="s">
        <v>150</v>
      </c>
      <c r="B315" s="146">
        <v>0</v>
      </c>
    </row>
    <row r="316" spans="1:2" x14ac:dyDescent="0.2">
      <c r="A316" s="145" t="s">
        <v>150</v>
      </c>
      <c r="B316" s="146">
        <v>0</v>
      </c>
    </row>
    <row r="317" spans="1:2" x14ac:dyDescent="0.2">
      <c r="A317" s="145" t="s">
        <v>151</v>
      </c>
      <c r="B317" s="146">
        <v>0</v>
      </c>
    </row>
    <row r="318" spans="1:2" x14ac:dyDescent="0.2">
      <c r="A318" s="145" t="s">
        <v>152</v>
      </c>
      <c r="B318" s="146">
        <v>0</v>
      </c>
    </row>
    <row r="319" spans="1:2" x14ac:dyDescent="0.2">
      <c r="A319" s="145" t="s">
        <v>151</v>
      </c>
      <c r="B319" s="146">
        <v>4089</v>
      </c>
    </row>
    <row r="320" spans="1:2" x14ac:dyDescent="0.2">
      <c r="A320" s="145" t="s">
        <v>150</v>
      </c>
      <c r="B320" s="146">
        <v>0</v>
      </c>
    </row>
    <row r="321" spans="1:2" x14ac:dyDescent="0.2">
      <c r="A321" s="145" t="s">
        <v>157</v>
      </c>
      <c r="B321" s="146">
        <v>271</v>
      </c>
    </row>
    <row r="322" spans="1:2" x14ac:dyDescent="0.2">
      <c r="A322" s="145" t="s">
        <v>150</v>
      </c>
      <c r="B322" s="146">
        <v>949</v>
      </c>
    </row>
    <row r="323" spans="1:2" x14ac:dyDescent="0.2">
      <c r="A323" s="145" t="s">
        <v>152</v>
      </c>
      <c r="B323" s="146">
        <v>0</v>
      </c>
    </row>
    <row r="324" spans="1:2" x14ac:dyDescent="0.2">
      <c r="A324" s="145" t="s">
        <v>152</v>
      </c>
      <c r="B324" s="146">
        <v>911</v>
      </c>
    </row>
    <row r="325" spans="1:2" x14ac:dyDescent="0.2">
      <c r="A325" s="145" t="s">
        <v>150</v>
      </c>
      <c r="B325" s="146">
        <v>0</v>
      </c>
    </row>
    <row r="326" spans="1:2" x14ac:dyDescent="0.2">
      <c r="A326" s="145" t="s">
        <v>154</v>
      </c>
      <c r="B326" s="146">
        <v>0</v>
      </c>
    </row>
    <row r="327" spans="1:2" x14ac:dyDescent="0.2">
      <c r="A327" s="145" t="s">
        <v>150</v>
      </c>
      <c r="B327" s="146">
        <v>0</v>
      </c>
    </row>
    <row r="328" spans="1:2" x14ac:dyDescent="0.2">
      <c r="A328" s="145" t="s">
        <v>158</v>
      </c>
      <c r="B328" s="146">
        <v>0</v>
      </c>
    </row>
    <row r="329" spans="1:2" x14ac:dyDescent="0.2">
      <c r="A329" s="145" t="s">
        <v>154</v>
      </c>
      <c r="B329" s="146">
        <v>271</v>
      </c>
    </row>
    <row r="330" spans="1:2" x14ac:dyDescent="0.2">
      <c r="A330" s="145" t="s">
        <v>152</v>
      </c>
      <c r="B330" s="146">
        <v>0</v>
      </c>
    </row>
    <row r="331" spans="1:2" x14ac:dyDescent="0.2">
      <c r="A331" s="145" t="s">
        <v>154</v>
      </c>
      <c r="B331" s="146">
        <v>0</v>
      </c>
    </row>
    <row r="332" spans="1:2" x14ac:dyDescent="0.2">
      <c r="A332" s="145" t="s">
        <v>150</v>
      </c>
      <c r="B332" s="146">
        <v>0</v>
      </c>
    </row>
    <row r="333" spans="1:2" x14ac:dyDescent="0.2">
      <c r="A333" s="145" t="s">
        <v>151</v>
      </c>
      <c r="B333" s="146">
        <v>0</v>
      </c>
    </row>
    <row r="334" spans="1:2" x14ac:dyDescent="0.2">
      <c r="A334" s="145" t="s">
        <v>150</v>
      </c>
      <c r="B334" s="146">
        <v>4802</v>
      </c>
    </row>
    <row r="335" spans="1:2" x14ac:dyDescent="0.2">
      <c r="A335" s="145" t="s">
        <v>155</v>
      </c>
      <c r="B335" s="146">
        <v>177</v>
      </c>
    </row>
    <row r="336" spans="1:2" x14ac:dyDescent="0.2">
      <c r="A336" s="145" t="s">
        <v>152</v>
      </c>
      <c r="B336" s="146">
        <v>0</v>
      </c>
    </row>
    <row r="337" spans="1:2" x14ac:dyDescent="0.2">
      <c r="A337" s="145" t="s">
        <v>150</v>
      </c>
      <c r="B337" s="146">
        <v>0</v>
      </c>
    </row>
    <row r="338" spans="1:2" x14ac:dyDescent="0.2">
      <c r="A338" s="145" t="s">
        <v>153</v>
      </c>
      <c r="B338" s="146">
        <v>996</v>
      </c>
    </row>
    <row r="339" spans="1:2" x14ac:dyDescent="0.2">
      <c r="A339" s="145" t="s">
        <v>153</v>
      </c>
      <c r="B339" s="146">
        <v>705</v>
      </c>
    </row>
    <row r="340" spans="1:2" x14ac:dyDescent="0.2">
      <c r="A340" s="145" t="s">
        <v>151</v>
      </c>
      <c r="B340" s="146">
        <v>0</v>
      </c>
    </row>
    <row r="341" spans="1:2" x14ac:dyDescent="0.2">
      <c r="A341" s="145" t="s">
        <v>150</v>
      </c>
      <c r="B341" s="146">
        <v>0</v>
      </c>
    </row>
    <row r="342" spans="1:2" x14ac:dyDescent="0.2">
      <c r="A342" s="145" t="s">
        <v>152</v>
      </c>
      <c r="B342" s="146">
        <v>5960</v>
      </c>
    </row>
    <row r="343" spans="1:2" x14ac:dyDescent="0.2">
      <c r="A343" s="145" t="s">
        <v>151</v>
      </c>
      <c r="B343" s="146">
        <v>0</v>
      </c>
    </row>
    <row r="344" spans="1:2" x14ac:dyDescent="0.2">
      <c r="A344" s="145" t="s">
        <v>151</v>
      </c>
      <c r="B344" s="146">
        <v>759</v>
      </c>
    </row>
    <row r="345" spans="1:2" x14ac:dyDescent="0.2">
      <c r="A345" s="145" t="s">
        <v>151</v>
      </c>
      <c r="B345" s="146">
        <v>0</v>
      </c>
    </row>
    <row r="346" spans="1:2" x14ac:dyDescent="0.2">
      <c r="A346" s="145" t="s">
        <v>152</v>
      </c>
      <c r="B346" s="146">
        <v>651</v>
      </c>
    </row>
    <row r="347" spans="1:2" x14ac:dyDescent="0.2">
      <c r="A347" s="145" t="s">
        <v>155</v>
      </c>
      <c r="B347" s="146">
        <v>257</v>
      </c>
    </row>
    <row r="348" spans="1:2" x14ac:dyDescent="0.2">
      <c r="A348" s="145" t="s">
        <v>152</v>
      </c>
      <c r="B348" s="146">
        <v>955</v>
      </c>
    </row>
    <row r="349" spans="1:2" x14ac:dyDescent="0.2">
      <c r="A349" s="145" t="s">
        <v>152</v>
      </c>
      <c r="B349" s="146">
        <v>0</v>
      </c>
    </row>
    <row r="350" spans="1:2" x14ac:dyDescent="0.2">
      <c r="A350" s="145" t="s">
        <v>152</v>
      </c>
      <c r="B350" s="146">
        <v>8249</v>
      </c>
    </row>
    <row r="351" spans="1:2" x14ac:dyDescent="0.2">
      <c r="A351" s="145" t="s">
        <v>152</v>
      </c>
      <c r="B351" s="146">
        <v>0</v>
      </c>
    </row>
    <row r="352" spans="1:2" x14ac:dyDescent="0.2">
      <c r="A352" s="145" t="s">
        <v>152</v>
      </c>
      <c r="B352" s="146">
        <v>956</v>
      </c>
    </row>
    <row r="353" spans="1:2" x14ac:dyDescent="0.2">
      <c r="A353" s="145" t="s">
        <v>150</v>
      </c>
      <c r="B353" s="146">
        <v>382</v>
      </c>
    </row>
    <row r="354" spans="1:2" x14ac:dyDescent="0.2">
      <c r="A354" s="145" t="s">
        <v>151</v>
      </c>
      <c r="B354" s="146">
        <v>0</v>
      </c>
    </row>
    <row r="355" spans="1:2" x14ac:dyDescent="0.2">
      <c r="A355" s="145" t="s">
        <v>153</v>
      </c>
      <c r="B355" s="146">
        <v>842</v>
      </c>
    </row>
    <row r="356" spans="1:2" x14ac:dyDescent="0.2">
      <c r="A356" s="145" t="s">
        <v>157</v>
      </c>
      <c r="B356" s="146">
        <v>3111</v>
      </c>
    </row>
    <row r="357" spans="1:2" x14ac:dyDescent="0.2">
      <c r="A357" s="145" t="s">
        <v>152</v>
      </c>
      <c r="B357" s="146">
        <v>0</v>
      </c>
    </row>
    <row r="358" spans="1:2" x14ac:dyDescent="0.2">
      <c r="A358" s="145" t="s">
        <v>151</v>
      </c>
      <c r="B358" s="146">
        <v>0</v>
      </c>
    </row>
    <row r="359" spans="1:2" x14ac:dyDescent="0.2">
      <c r="A359" s="145" t="s">
        <v>152</v>
      </c>
      <c r="B359" s="146">
        <v>2846</v>
      </c>
    </row>
    <row r="360" spans="1:2" x14ac:dyDescent="0.2">
      <c r="A360" s="145" t="s">
        <v>152</v>
      </c>
      <c r="B360" s="146">
        <v>231</v>
      </c>
    </row>
    <row r="361" spans="1:2" x14ac:dyDescent="0.2">
      <c r="A361" s="145" t="s">
        <v>157</v>
      </c>
      <c r="B361" s="146">
        <v>0</v>
      </c>
    </row>
    <row r="362" spans="1:2" x14ac:dyDescent="0.2">
      <c r="A362" s="145" t="s">
        <v>152</v>
      </c>
      <c r="B362" s="146">
        <v>17366</v>
      </c>
    </row>
    <row r="363" spans="1:2" x14ac:dyDescent="0.2">
      <c r="A363" s="145" t="s">
        <v>152</v>
      </c>
      <c r="B363" s="146">
        <v>0</v>
      </c>
    </row>
    <row r="364" spans="1:2" x14ac:dyDescent="0.2">
      <c r="A364" s="145" t="s">
        <v>150</v>
      </c>
      <c r="B364" s="146">
        <v>332</v>
      </c>
    </row>
    <row r="365" spans="1:2" x14ac:dyDescent="0.2">
      <c r="A365" s="145" t="s">
        <v>152</v>
      </c>
      <c r="B365" s="146">
        <v>242</v>
      </c>
    </row>
    <row r="366" spans="1:2" x14ac:dyDescent="0.2">
      <c r="A366" s="145" t="s">
        <v>150</v>
      </c>
      <c r="B366" s="146">
        <v>0</v>
      </c>
    </row>
    <row r="367" spans="1:2" x14ac:dyDescent="0.2">
      <c r="A367" s="145" t="s">
        <v>155</v>
      </c>
      <c r="B367" s="146">
        <v>929</v>
      </c>
    </row>
    <row r="368" spans="1:2" x14ac:dyDescent="0.2">
      <c r="A368" s="145" t="s">
        <v>152</v>
      </c>
      <c r="B368" s="146">
        <v>0</v>
      </c>
    </row>
    <row r="369" spans="1:2" x14ac:dyDescent="0.2">
      <c r="A369" s="145" t="s">
        <v>154</v>
      </c>
      <c r="B369" s="146">
        <v>0</v>
      </c>
    </row>
    <row r="370" spans="1:2" x14ac:dyDescent="0.2">
      <c r="A370" s="145" t="s">
        <v>150</v>
      </c>
      <c r="B370" s="146">
        <v>0</v>
      </c>
    </row>
    <row r="371" spans="1:2" x14ac:dyDescent="0.2">
      <c r="A371" s="145" t="s">
        <v>151</v>
      </c>
      <c r="B371" s="146">
        <v>0</v>
      </c>
    </row>
    <row r="372" spans="1:2" x14ac:dyDescent="0.2">
      <c r="A372" s="145" t="s">
        <v>150</v>
      </c>
      <c r="B372" s="146">
        <v>0</v>
      </c>
    </row>
    <row r="373" spans="1:2" x14ac:dyDescent="0.2">
      <c r="A373" s="145" t="s">
        <v>154</v>
      </c>
      <c r="B373" s="146">
        <v>0</v>
      </c>
    </row>
    <row r="374" spans="1:2" x14ac:dyDescent="0.2">
      <c r="A374" s="145" t="s">
        <v>152</v>
      </c>
      <c r="B374" s="146">
        <v>0</v>
      </c>
    </row>
    <row r="375" spans="1:2" x14ac:dyDescent="0.2">
      <c r="A375" s="145" t="s">
        <v>154</v>
      </c>
      <c r="B375" s="146">
        <v>646</v>
      </c>
    </row>
    <row r="376" spans="1:2" x14ac:dyDescent="0.2">
      <c r="A376" s="145" t="s">
        <v>150</v>
      </c>
      <c r="B376" s="146">
        <v>538</v>
      </c>
    </row>
    <row r="377" spans="1:2" x14ac:dyDescent="0.2">
      <c r="A377" s="145" t="s">
        <v>151</v>
      </c>
      <c r="B377" s="146">
        <v>0</v>
      </c>
    </row>
    <row r="378" spans="1:2" x14ac:dyDescent="0.2">
      <c r="A378" s="145" t="s">
        <v>152</v>
      </c>
      <c r="B378" s="146">
        <v>0</v>
      </c>
    </row>
    <row r="379" spans="1:2" x14ac:dyDescent="0.2">
      <c r="A379" s="145" t="s">
        <v>151</v>
      </c>
      <c r="B379" s="146">
        <v>0</v>
      </c>
    </row>
    <row r="380" spans="1:2" x14ac:dyDescent="0.2">
      <c r="A380" s="145" t="s">
        <v>152</v>
      </c>
      <c r="B380" s="146">
        <v>0</v>
      </c>
    </row>
    <row r="381" spans="1:2" x14ac:dyDescent="0.2">
      <c r="A381" s="145" t="s">
        <v>150</v>
      </c>
      <c r="B381" s="146">
        <v>135</v>
      </c>
    </row>
    <row r="382" spans="1:2" x14ac:dyDescent="0.2">
      <c r="A382" s="145" t="s">
        <v>154</v>
      </c>
      <c r="B382" s="146">
        <v>2472</v>
      </c>
    </row>
    <row r="383" spans="1:2" x14ac:dyDescent="0.2">
      <c r="A383" s="145" t="s">
        <v>150</v>
      </c>
      <c r="B383" s="146">
        <v>0</v>
      </c>
    </row>
    <row r="384" spans="1:2" x14ac:dyDescent="0.2">
      <c r="A384" s="145" t="s">
        <v>150</v>
      </c>
      <c r="B384" s="146">
        <v>10417</v>
      </c>
    </row>
    <row r="385" spans="1:2" x14ac:dyDescent="0.2">
      <c r="A385" s="145" t="s">
        <v>152</v>
      </c>
      <c r="B385" s="146">
        <v>211</v>
      </c>
    </row>
    <row r="386" spans="1:2" x14ac:dyDescent="0.2">
      <c r="A386" s="145" t="s">
        <v>152</v>
      </c>
      <c r="B386" s="146">
        <v>16630</v>
      </c>
    </row>
    <row r="387" spans="1:2" x14ac:dyDescent="0.2">
      <c r="A387" s="145" t="s">
        <v>151</v>
      </c>
      <c r="B387" s="146">
        <v>0</v>
      </c>
    </row>
    <row r="388" spans="1:2" x14ac:dyDescent="0.2">
      <c r="A388" s="145" t="s">
        <v>151</v>
      </c>
      <c r="B388" s="146">
        <v>642</v>
      </c>
    </row>
    <row r="389" spans="1:2" x14ac:dyDescent="0.2">
      <c r="A389" s="145" t="s">
        <v>152</v>
      </c>
      <c r="B389" s="146">
        <v>0</v>
      </c>
    </row>
    <row r="390" spans="1:2" x14ac:dyDescent="0.2">
      <c r="A390" s="145" t="s">
        <v>152</v>
      </c>
      <c r="B390" s="146">
        <v>296</v>
      </c>
    </row>
    <row r="391" spans="1:2" x14ac:dyDescent="0.2">
      <c r="A391" s="145" t="s">
        <v>155</v>
      </c>
      <c r="B391" s="146">
        <v>898</v>
      </c>
    </row>
    <row r="392" spans="1:2" x14ac:dyDescent="0.2">
      <c r="A392" s="145" t="s">
        <v>150</v>
      </c>
      <c r="B392" s="146">
        <v>478</v>
      </c>
    </row>
    <row r="393" spans="1:2" x14ac:dyDescent="0.2">
      <c r="A393" s="145" t="s">
        <v>150</v>
      </c>
      <c r="B393" s="146">
        <v>315</v>
      </c>
    </row>
    <row r="394" spans="1:2" x14ac:dyDescent="0.2">
      <c r="A394" s="145" t="s">
        <v>150</v>
      </c>
      <c r="B394" s="146">
        <v>122</v>
      </c>
    </row>
    <row r="395" spans="1:2" x14ac:dyDescent="0.2">
      <c r="A395" s="145" t="s">
        <v>151</v>
      </c>
      <c r="B395" s="146">
        <v>0</v>
      </c>
    </row>
    <row r="396" spans="1:2" x14ac:dyDescent="0.2">
      <c r="A396" s="145" t="s">
        <v>152</v>
      </c>
      <c r="B396" s="146">
        <v>0</v>
      </c>
    </row>
    <row r="397" spans="1:2" x14ac:dyDescent="0.2">
      <c r="A397" s="145" t="s">
        <v>153</v>
      </c>
      <c r="B397" s="146">
        <v>0</v>
      </c>
    </row>
    <row r="398" spans="1:2" x14ac:dyDescent="0.2">
      <c r="A398" s="145" t="s">
        <v>155</v>
      </c>
      <c r="B398" s="146">
        <v>670</v>
      </c>
    </row>
    <row r="399" spans="1:2" x14ac:dyDescent="0.2">
      <c r="A399" s="145" t="s">
        <v>155</v>
      </c>
      <c r="B399" s="146">
        <v>444</v>
      </c>
    </row>
    <row r="400" spans="1:2" x14ac:dyDescent="0.2">
      <c r="A400" s="145" t="s">
        <v>150</v>
      </c>
      <c r="B400" s="146">
        <v>3880</v>
      </c>
    </row>
    <row r="401" spans="1:2" x14ac:dyDescent="0.2">
      <c r="A401" s="145" t="s">
        <v>154</v>
      </c>
      <c r="B401" s="146">
        <v>819</v>
      </c>
    </row>
    <row r="402" spans="1:2" x14ac:dyDescent="0.2">
      <c r="A402" s="145" t="s">
        <v>154</v>
      </c>
      <c r="B402" s="146">
        <v>0</v>
      </c>
    </row>
    <row r="403" spans="1:2" x14ac:dyDescent="0.2">
      <c r="A403" s="145" t="s">
        <v>156</v>
      </c>
      <c r="B403" s="146">
        <v>0</v>
      </c>
    </row>
    <row r="404" spans="1:2" x14ac:dyDescent="0.2">
      <c r="A404" s="145" t="s">
        <v>151</v>
      </c>
      <c r="B404" s="146">
        <v>0</v>
      </c>
    </row>
    <row r="405" spans="1:2" x14ac:dyDescent="0.2">
      <c r="A405" s="145" t="s">
        <v>155</v>
      </c>
      <c r="B405" s="146">
        <v>0</v>
      </c>
    </row>
    <row r="406" spans="1:2" x14ac:dyDescent="0.2">
      <c r="A406" s="145" t="s">
        <v>151</v>
      </c>
      <c r="B406" s="146">
        <v>0</v>
      </c>
    </row>
    <row r="407" spans="1:2" x14ac:dyDescent="0.2">
      <c r="A407" s="145" t="s">
        <v>150</v>
      </c>
      <c r="B407" s="146">
        <v>0</v>
      </c>
    </row>
    <row r="408" spans="1:2" x14ac:dyDescent="0.2">
      <c r="A408" s="145" t="s">
        <v>153</v>
      </c>
      <c r="B408" s="146">
        <v>0</v>
      </c>
    </row>
    <row r="409" spans="1:2" x14ac:dyDescent="0.2">
      <c r="A409" s="145" t="s">
        <v>154</v>
      </c>
      <c r="B409" s="146">
        <v>0</v>
      </c>
    </row>
    <row r="410" spans="1:2" x14ac:dyDescent="0.2">
      <c r="A410" s="145" t="s">
        <v>150</v>
      </c>
      <c r="B410" s="146">
        <v>0</v>
      </c>
    </row>
    <row r="411" spans="1:2" x14ac:dyDescent="0.2">
      <c r="A411" s="145" t="s">
        <v>151</v>
      </c>
      <c r="B411" s="146">
        <v>161</v>
      </c>
    </row>
    <row r="412" spans="1:2" x14ac:dyDescent="0.2">
      <c r="A412" s="145" t="s">
        <v>151</v>
      </c>
      <c r="B412" s="146">
        <v>0</v>
      </c>
    </row>
    <row r="413" spans="1:2" x14ac:dyDescent="0.2">
      <c r="A413" s="145" t="s">
        <v>154</v>
      </c>
      <c r="B413" s="146">
        <v>0</v>
      </c>
    </row>
    <row r="414" spans="1:2" x14ac:dyDescent="0.2">
      <c r="A414" s="145" t="s">
        <v>150</v>
      </c>
      <c r="B414" s="146">
        <v>789</v>
      </c>
    </row>
    <row r="415" spans="1:2" x14ac:dyDescent="0.2">
      <c r="A415" s="145" t="s">
        <v>152</v>
      </c>
      <c r="B415" s="146">
        <v>765</v>
      </c>
    </row>
    <row r="416" spans="1:2" x14ac:dyDescent="0.2">
      <c r="A416" s="145" t="s">
        <v>151</v>
      </c>
      <c r="B416" s="146">
        <v>0</v>
      </c>
    </row>
    <row r="417" spans="1:2" x14ac:dyDescent="0.2">
      <c r="A417" s="145" t="s">
        <v>150</v>
      </c>
      <c r="B417" s="146">
        <v>0</v>
      </c>
    </row>
    <row r="418" spans="1:2" x14ac:dyDescent="0.2">
      <c r="A418" s="145" t="s">
        <v>151</v>
      </c>
      <c r="B418" s="146">
        <v>983</v>
      </c>
    </row>
    <row r="419" spans="1:2" x14ac:dyDescent="0.2">
      <c r="A419" s="145" t="s">
        <v>154</v>
      </c>
      <c r="B419" s="146">
        <v>0</v>
      </c>
    </row>
    <row r="420" spans="1:2" x14ac:dyDescent="0.2">
      <c r="A420" s="145" t="s">
        <v>154</v>
      </c>
      <c r="B420" s="146">
        <v>0</v>
      </c>
    </row>
    <row r="421" spans="1:2" x14ac:dyDescent="0.2">
      <c r="A421" s="145" t="s">
        <v>153</v>
      </c>
      <c r="B421" s="146">
        <v>798</v>
      </c>
    </row>
    <row r="422" spans="1:2" x14ac:dyDescent="0.2">
      <c r="A422" s="145" t="s">
        <v>150</v>
      </c>
      <c r="B422" s="146">
        <v>0</v>
      </c>
    </row>
    <row r="423" spans="1:2" x14ac:dyDescent="0.2">
      <c r="A423" s="145" t="s">
        <v>150</v>
      </c>
      <c r="B423" s="146">
        <v>193</v>
      </c>
    </row>
    <row r="424" spans="1:2" x14ac:dyDescent="0.2">
      <c r="A424" s="145" t="s">
        <v>152</v>
      </c>
      <c r="B424" s="146">
        <v>497</v>
      </c>
    </row>
    <row r="425" spans="1:2" x14ac:dyDescent="0.2">
      <c r="A425" s="145" t="s">
        <v>151</v>
      </c>
      <c r="B425" s="146">
        <v>0</v>
      </c>
    </row>
    <row r="426" spans="1:2" x14ac:dyDescent="0.2">
      <c r="A426" s="145" t="s">
        <v>150</v>
      </c>
      <c r="B426" s="146">
        <v>0</v>
      </c>
    </row>
    <row r="427" spans="1:2" x14ac:dyDescent="0.2">
      <c r="A427" s="145" t="s">
        <v>150</v>
      </c>
      <c r="B427" s="146">
        <v>0</v>
      </c>
    </row>
    <row r="428" spans="1:2" x14ac:dyDescent="0.2">
      <c r="A428" s="145" t="s">
        <v>150</v>
      </c>
      <c r="B428" s="146">
        <v>0</v>
      </c>
    </row>
  </sheetData>
  <mergeCells count="1">
    <mergeCell ref="D2:E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workbookViewId="0"/>
  </sheetViews>
  <sheetFormatPr baseColWidth="10" defaultColWidth="8.83203125" defaultRowHeight="16" x14ac:dyDescent="0.2"/>
  <cols>
    <col min="1" max="2" width="8.83203125" style="147"/>
    <col min="3" max="3" width="13.1640625" style="147" bestFit="1" customWidth="1"/>
    <col min="4" max="4" width="8.5" style="147" bestFit="1" customWidth="1"/>
    <col min="5" max="5" width="15.83203125" style="147" bestFit="1" customWidth="1"/>
    <col min="6" max="7" width="8.83203125" style="147"/>
    <col min="8" max="8" width="18.33203125" style="147" customWidth="1"/>
    <col min="9" max="9" width="21.83203125" style="78" bestFit="1" customWidth="1"/>
    <col min="10" max="10" width="8.83203125" style="78"/>
    <col min="11" max="11" width="16.1640625" style="78" bestFit="1" customWidth="1"/>
    <col min="12" max="12" width="25.1640625" style="78" bestFit="1" customWidth="1"/>
    <col min="13" max="13" width="23.5" style="78" bestFit="1" customWidth="1"/>
    <col min="14" max="16384" width="8.83203125" style="78"/>
  </cols>
  <sheetData>
    <row r="1" spans="1:12" x14ac:dyDescent="0.2">
      <c r="A1" s="79" t="s">
        <v>189</v>
      </c>
    </row>
    <row r="3" spans="1:12" ht="17" thickBot="1" x14ac:dyDescent="0.25">
      <c r="A3" s="84" t="s">
        <v>188</v>
      </c>
      <c r="B3" s="84" t="s">
        <v>187</v>
      </c>
      <c r="C3" s="84" t="s">
        <v>186</v>
      </c>
      <c r="D3" s="84" t="s">
        <v>185</v>
      </c>
      <c r="E3" s="84" t="s">
        <v>184</v>
      </c>
      <c r="F3" s="84" t="s">
        <v>183</v>
      </c>
      <c r="G3" s="84" t="s">
        <v>182</v>
      </c>
      <c r="H3" s="84" t="s">
        <v>181</v>
      </c>
      <c r="I3" s="80" t="s">
        <v>180</v>
      </c>
      <c r="K3" s="80" t="s">
        <v>179</v>
      </c>
      <c r="L3" s="80" t="s">
        <v>177</v>
      </c>
    </row>
    <row r="4" spans="1:12" ht="17" thickTop="1" x14ac:dyDescent="0.2">
      <c r="A4" s="148">
        <v>1</v>
      </c>
      <c r="B4" s="148">
        <v>1</v>
      </c>
      <c r="C4" s="149" t="s">
        <v>176</v>
      </c>
      <c r="D4" s="148">
        <v>2005</v>
      </c>
      <c r="E4" s="149" t="s">
        <v>174</v>
      </c>
      <c r="F4" s="150">
        <v>229</v>
      </c>
      <c r="G4" s="148">
        <v>28</v>
      </c>
      <c r="H4" s="151" t="s">
        <v>171</v>
      </c>
      <c r="I4" s="85">
        <f t="shared" ref="I4:I35" si="0">F4*G4</f>
        <v>6412</v>
      </c>
      <c r="K4" s="82">
        <v>1</v>
      </c>
      <c r="L4" s="83">
        <f>SUMIF($B$4:$B$99,"=1",$I$4:$I$99)</f>
        <v>90281.099999999991</v>
      </c>
    </row>
    <row r="5" spans="1:12" x14ac:dyDescent="0.2">
      <c r="A5" s="152">
        <v>2</v>
      </c>
      <c r="B5" s="152">
        <v>1</v>
      </c>
      <c r="C5" s="153" t="s">
        <v>176</v>
      </c>
      <c r="D5" s="152">
        <v>2005</v>
      </c>
      <c r="E5" s="153" t="s">
        <v>174</v>
      </c>
      <c r="F5" s="154">
        <v>229</v>
      </c>
      <c r="G5" s="152">
        <v>30</v>
      </c>
      <c r="H5" s="155" t="s">
        <v>170</v>
      </c>
      <c r="I5" s="85">
        <f t="shared" si="0"/>
        <v>6870</v>
      </c>
      <c r="K5" s="82">
        <v>2</v>
      </c>
      <c r="L5" s="83">
        <f>SUMIF($B$4:$B$99,"=2",$I$4:$I$99)</f>
        <v>54262.700000000004</v>
      </c>
    </row>
    <row r="6" spans="1:12" x14ac:dyDescent="0.2">
      <c r="A6" s="152">
        <v>3</v>
      </c>
      <c r="B6" s="152">
        <v>1</v>
      </c>
      <c r="C6" s="153" t="s">
        <v>176</v>
      </c>
      <c r="D6" s="152">
        <v>2005</v>
      </c>
      <c r="E6" s="153" t="s">
        <v>174</v>
      </c>
      <c r="F6" s="154">
        <v>229</v>
      </c>
      <c r="G6" s="152">
        <v>9</v>
      </c>
      <c r="H6" s="155" t="s">
        <v>167</v>
      </c>
      <c r="I6" s="85">
        <f t="shared" si="0"/>
        <v>2061</v>
      </c>
      <c r="K6" s="82">
        <v>3</v>
      </c>
      <c r="L6" s="83">
        <f>SUMIF($B$4:$B$99,"=3",$I$4:$I$99)</f>
        <v>90051.25</v>
      </c>
    </row>
    <row r="7" spans="1:12" x14ac:dyDescent="0.2">
      <c r="A7" s="152">
        <v>4</v>
      </c>
      <c r="B7" s="152">
        <v>1</v>
      </c>
      <c r="C7" s="153" t="s">
        <v>176</v>
      </c>
      <c r="D7" s="152">
        <v>3006</v>
      </c>
      <c r="E7" s="153" t="s">
        <v>173</v>
      </c>
      <c r="F7" s="154">
        <v>19.95</v>
      </c>
      <c r="G7" s="152">
        <v>30</v>
      </c>
      <c r="H7" s="155" t="s">
        <v>171</v>
      </c>
      <c r="I7" s="85">
        <f t="shared" si="0"/>
        <v>598.5</v>
      </c>
      <c r="K7" s="82">
        <v>4</v>
      </c>
      <c r="L7" s="83">
        <f>SUMIF($B$4:$B$99,"=4",$I$4:$I$99)</f>
        <v>75498.75</v>
      </c>
    </row>
    <row r="8" spans="1:12" x14ac:dyDescent="0.2">
      <c r="A8" s="152">
        <v>5</v>
      </c>
      <c r="B8" s="152">
        <v>1</v>
      </c>
      <c r="C8" s="153" t="s">
        <v>176</v>
      </c>
      <c r="D8" s="152">
        <v>3006</v>
      </c>
      <c r="E8" s="153" t="s">
        <v>173</v>
      </c>
      <c r="F8" s="154">
        <v>19.95</v>
      </c>
      <c r="G8" s="152">
        <v>35</v>
      </c>
      <c r="H8" s="155" t="s">
        <v>170</v>
      </c>
      <c r="I8" s="85">
        <f t="shared" si="0"/>
        <v>698.25</v>
      </c>
      <c r="K8" s="82">
        <v>5</v>
      </c>
      <c r="L8" s="83">
        <f>SUMIF($B$4:$B$99,"=5",$I$4:$I$99)</f>
        <v>158334</v>
      </c>
    </row>
    <row r="9" spans="1:12" x14ac:dyDescent="0.2">
      <c r="A9" s="152">
        <v>6</v>
      </c>
      <c r="B9" s="152">
        <v>1</v>
      </c>
      <c r="C9" s="153" t="s">
        <v>176</v>
      </c>
      <c r="D9" s="152">
        <v>3006</v>
      </c>
      <c r="E9" s="153" t="s">
        <v>173</v>
      </c>
      <c r="F9" s="154">
        <v>19.95</v>
      </c>
      <c r="G9" s="152">
        <v>39</v>
      </c>
      <c r="H9" s="155" t="s">
        <v>167</v>
      </c>
      <c r="I9" s="85">
        <f t="shared" si="0"/>
        <v>778.05</v>
      </c>
      <c r="K9" s="82">
        <v>6</v>
      </c>
      <c r="L9" s="83">
        <f>SUMIF($B$4:$B$99,"=6",$I$4:$I$99)</f>
        <v>267648.90000000002</v>
      </c>
    </row>
    <row r="10" spans="1:12" x14ac:dyDescent="0.2">
      <c r="A10" s="152">
        <v>7</v>
      </c>
      <c r="B10" s="152">
        <v>1</v>
      </c>
      <c r="C10" s="153" t="s">
        <v>176</v>
      </c>
      <c r="D10" s="152">
        <v>6050</v>
      </c>
      <c r="E10" s="153" t="s">
        <v>172</v>
      </c>
      <c r="F10" s="154">
        <v>8.9499999999999993</v>
      </c>
      <c r="G10" s="152">
        <v>28</v>
      </c>
      <c r="H10" s="155" t="s">
        <v>171</v>
      </c>
      <c r="I10" s="85">
        <f t="shared" si="0"/>
        <v>250.59999999999997</v>
      </c>
      <c r="K10" s="82">
        <v>7</v>
      </c>
      <c r="L10" s="83">
        <f>SUMIF($B$4:$B$99,"=7",$I$4:$I$99)</f>
        <v>170040.85</v>
      </c>
    </row>
    <row r="11" spans="1:12" x14ac:dyDescent="0.2">
      <c r="A11" s="152">
        <v>8</v>
      </c>
      <c r="B11" s="152">
        <v>1</v>
      </c>
      <c r="C11" s="153" t="s">
        <v>176</v>
      </c>
      <c r="D11" s="152">
        <v>6050</v>
      </c>
      <c r="E11" s="153" t="s">
        <v>172</v>
      </c>
      <c r="F11" s="154">
        <v>8.9499999999999993</v>
      </c>
      <c r="G11" s="152">
        <v>3</v>
      </c>
      <c r="H11" s="155" t="s">
        <v>170</v>
      </c>
      <c r="I11" s="85">
        <f t="shared" si="0"/>
        <v>26.849999999999998</v>
      </c>
      <c r="K11" s="82">
        <v>8</v>
      </c>
      <c r="L11" s="83">
        <f>SUMIF($B$4:$B$99,"=8",$I$4:$I$99)</f>
        <v>91435.05</v>
      </c>
    </row>
    <row r="12" spans="1:12" x14ac:dyDescent="0.2">
      <c r="A12" s="152">
        <v>9</v>
      </c>
      <c r="B12" s="152">
        <v>1</v>
      </c>
      <c r="C12" s="153" t="s">
        <v>176</v>
      </c>
      <c r="D12" s="152">
        <v>6050</v>
      </c>
      <c r="E12" s="153" t="s">
        <v>172</v>
      </c>
      <c r="F12" s="154">
        <v>8.9499999999999993</v>
      </c>
      <c r="G12" s="152">
        <v>38</v>
      </c>
      <c r="H12" s="155" t="s">
        <v>167</v>
      </c>
      <c r="I12" s="85">
        <f t="shared" si="0"/>
        <v>340.09999999999997</v>
      </c>
      <c r="L12" s="81"/>
    </row>
    <row r="13" spans="1:12" x14ac:dyDescent="0.2">
      <c r="A13" s="152">
        <v>10</v>
      </c>
      <c r="B13" s="152">
        <v>1</v>
      </c>
      <c r="C13" s="153" t="s">
        <v>176</v>
      </c>
      <c r="D13" s="152">
        <v>8500</v>
      </c>
      <c r="E13" s="153" t="s">
        <v>168</v>
      </c>
      <c r="F13" s="154">
        <v>849.95</v>
      </c>
      <c r="G13" s="152">
        <v>25</v>
      </c>
      <c r="H13" s="155" t="s">
        <v>171</v>
      </c>
      <c r="I13" s="85">
        <f t="shared" si="0"/>
        <v>21248.75</v>
      </c>
    </row>
    <row r="14" spans="1:12" x14ac:dyDescent="0.2">
      <c r="A14" s="152">
        <v>11</v>
      </c>
      <c r="B14" s="152">
        <v>1</v>
      </c>
      <c r="C14" s="153" t="s">
        <v>176</v>
      </c>
      <c r="D14" s="152">
        <v>8500</v>
      </c>
      <c r="E14" s="153" t="s">
        <v>168</v>
      </c>
      <c r="F14" s="154">
        <v>849.95</v>
      </c>
      <c r="G14" s="152">
        <v>27</v>
      </c>
      <c r="H14" s="155" t="s">
        <v>170</v>
      </c>
      <c r="I14" s="85">
        <f t="shared" si="0"/>
        <v>22948.65</v>
      </c>
    </row>
    <row r="15" spans="1:12" x14ac:dyDescent="0.2">
      <c r="A15" s="152">
        <v>12</v>
      </c>
      <c r="B15" s="152">
        <v>1</v>
      </c>
      <c r="C15" s="153" t="s">
        <v>176</v>
      </c>
      <c r="D15" s="152">
        <v>8500</v>
      </c>
      <c r="E15" s="153" t="s">
        <v>168</v>
      </c>
      <c r="F15" s="154">
        <v>849.95</v>
      </c>
      <c r="G15" s="152">
        <v>33</v>
      </c>
      <c r="H15" s="155" t="s">
        <v>167</v>
      </c>
      <c r="I15" s="85">
        <f t="shared" si="0"/>
        <v>28048.350000000002</v>
      </c>
      <c r="K15" s="80" t="s">
        <v>178</v>
      </c>
      <c r="L15" s="80" t="s">
        <v>177</v>
      </c>
    </row>
    <row r="16" spans="1:12" x14ac:dyDescent="0.2">
      <c r="A16" s="152">
        <v>13</v>
      </c>
      <c r="B16" s="152">
        <v>2</v>
      </c>
      <c r="C16" s="153" t="s">
        <v>176</v>
      </c>
      <c r="D16" s="152">
        <v>2005</v>
      </c>
      <c r="E16" s="153" t="s">
        <v>174</v>
      </c>
      <c r="F16" s="154">
        <v>229</v>
      </c>
      <c r="G16" s="152">
        <v>8</v>
      </c>
      <c r="H16" s="155" t="s">
        <v>171</v>
      </c>
      <c r="I16" s="85">
        <f t="shared" si="0"/>
        <v>1832</v>
      </c>
      <c r="K16" s="75" t="s">
        <v>176</v>
      </c>
      <c r="L16" s="83">
        <f>SUMIF($C$4:$C$99,"=South",$I$4:$I$99)</f>
        <v>234595.05000000005</v>
      </c>
    </row>
    <row r="17" spans="1:12" x14ac:dyDescent="0.2">
      <c r="A17" s="152">
        <v>14</v>
      </c>
      <c r="B17" s="152">
        <v>2</v>
      </c>
      <c r="C17" s="153" t="s">
        <v>176</v>
      </c>
      <c r="D17" s="152">
        <v>2005</v>
      </c>
      <c r="E17" s="153" t="s">
        <v>174</v>
      </c>
      <c r="F17" s="154">
        <v>229</v>
      </c>
      <c r="G17" s="152">
        <v>8</v>
      </c>
      <c r="H17" s="155" t="s">
        <v>170</v>
      </c>
      <c r="I17" s="85">
        <f t="shared" si="0"/>
        <v>1832</v>
      </c>
      <c r="K17" s="75" t="s">
        <v>175</v>
      </c>
      <c r="L17" s="83">
        <f>SUMIF($C$4:$C$99,"=North",$I$4:$I$99)</f>
        <v>233832.75</v>
      </c>
    </row>
    <row r="18" spans="1:12" x14ac:dyDescent="0.2">
      <c r="A18" s="152">
        <v>15</v>
      </c>
      <c r="B18" s="152">
        <v>2</v>
      </c>
      <c r="C18" s="153" t="s">
        <v>176</v>
      </c>
      <c r="D18" s="152">
        <v>2005</v>
      </c>
      <c r="E18" s="153" t="s">
        <v>174</v>
      </c>
      <c r="F18" s="154">
        <v>229</v>
      </c>
      <c r="G18" s="152">
        <v>10</v>
      </c>
      <c r="H18" s="155" t="s">
        <v>167</v>
      </c>
      <c r="I18" s="85">
        <f t="shared" si="0"/>
        <v>2290</v>
      </c>
      <c r="K18" s="75" t="s">
        <v>169</v>
      </c>
      <c r="L18" s="83">
        <f>SUMIF($C$4:$C$99,"=East",$I$4:$I$99)</f>
        <v>529124.80000000005</v>
      </c>
    </row>
    <row r="19" spans="1:12" x14ac:dyDescent="0.2">
      <c r="A19" s="152">
        <v>16</v>
      </c>
      <c r="B19" s="152">
        <v>2</v>
      </c>
      <c r="C19" s="153" t="s">
        <v>176</v>
      </c>
      <c r="D19" s="152">
        <v>3006</v>
      </c>
      <c r="E19" s="153" t="s">
        <v>173</v>
      </c>
      <c r="F19" s="154">
        <v>19.95</v>
      </c>
      <c r="G19" s="152">
        <v>8</v>
      </c>
      <c r="H19" s="155" t="s">
        <v>171</v>
      </c>
      <c r="I19" s="85">
        <f t="shared" si="0"/>
        <v>159.6</v>
      </c>
      <c r="L19" s="81"/>
    </row>
    <row r="20" spans="1:12" x14ac:dyDescent="0.2">
      <c r="A20" s="152">
        <v>17</v>
      </c>
      <c r="B20" s="152">
        <v>2</v>
      </c>
      <c r="C20" s="153" t="s">
        <v>176</v>
      </c>
      <c r="D20" s="152">
        <v>3006</v>
      </c>
      <c r="E20" s="153" t="s">
        <v>173</v>
      </c>
      <c r="F20" s="154">
        <v>19.95</v>
      </c>
      <c r="G20" s="152">
        <v>8</v>
      </c>
      <c r="H20" s="155" t="s">
        <v>170</v>
      </c>
      <c r="I20" s="85">
        <f t="shared" si="0"/>
        <v>159.6</v>
      </c>
    </row>
    <row r="21" spans="1:12" x14ac:dyDescent="0.2">
      <c r="A21" s="152">
        <v>18</v>
      </c>
      <c r="B21" s="152">
        <v>2</v>
      </c>
      <c r="C21" s="153" t="s">
        <v>176</v>
      </c>
      <c r="D21" s="152">
        <v>3006</v>
      </c>
      <c r="E21" s="153" t="s">
        <v>173</v>
      </c>
      <c r="F21" s="154">
        <v>19.95</v>
      </c>
      <c r="G21" s="152">
        <v>8</v>
      </c>
      <c r="H21" s="155" t="s">
        <v>167</v>
      </c>
      <c r="I21" s="85">
        <f t="shared" si="0"/>
        <v>159.6</v>
      </c>
    </row>
    <row r="22" spans="1:12" x14ac:dyDescent="0.2">
      <c r="A22" s="152">
        <v>19</v>
      </c>
      <c r="B22" s="152">
        <v>2</v>
      </c>
      <c r="C22" s="153" t="s">
        <v>176</v>
      </c>
      <c r="D22" s="152">
        <v>6050</v>
      </c>
      <c r="E22" s="153" t="s">
        <v>172</v>
      </c>
      <c r="F22" s="154">
        <v>8.9499999999999993</v>
      </c>
      <c r="G22" s="152">
        <v>9</v>
      </c>
      <c r="H22" s="155" t="s">
        <v>171</v>
      </c>
      <c r="I22" s="85">
        <f t="shared" si="0"/>
        <v>80.55</v>
      </c>
    </row>
    <row r="23" spans="1:12" x14ac:dyDescent="0.2">
      <c r="A23" s="152">
        <v>20</v>
      </c>
      <c r="B23" s="152">
        <v>2</v>
      </c>
      <c r="C23" s="153" t="s">
        <v>176</v>
      </c>
      <c r="D23" s="152">
        <v>6050</v>
      </c>
      <c r="E23" s="153" t="s">
        <v>172</v>
      </c>
      <c r="F23" s="154">
        <v>8.9499999999999993</v>
      </c>
      <c r="G23" s="152">
        <v>9</v>
      </c>
      <c r="H23" s="155" t="s">
        <v>170</v>
      </c>
      <c r="I23" s="85">
        <f t="shared" si="0"/>
        <v>80.55</v>
      </c>
    </row>
    <row r="24" spans="1:12" x14ac:dyDescent="0.2">
      <c r="A24" s="152">
        <v>21</v>
      </c>
      <c r="B24" s="152">
        <v>2</v>
      </c>
      <c r="C24" s="153" t="s">
        <v>176</v>
      </c>
      <c r="D24" s="152">
        <v>6050</v>
      </c>
      <c r="E24" s="153" t="s">
        <v>172</v>
      </c>
      <c r="F24" s="154">
        <v>8.9499999999999993</v>
      </c>
      <c r="G24" s="152">
        <v>8</v>
      </c>
      <c r="H24" s="155" t="s">
        <v>167</v>
      </c>
      <c r="I24" s="85">
        <f t="shared" si="0"/>
        <v>71.599999999999994</v>
      </c>
    </row>
    <row r="25" spans="1:12" x14ac:dyDescent="0.2">
      <c r="A25" s="152">
        <v>22</v>
      </c>
      <c r="B25" s="152">
        <v>2</v>
      </c>
      <c r="C25" s="153" t="s">
        <v>176</v>
      </c>
      <c r="D25" s="152">
        <v>8500</v>
      </c>
      <c r="E25" s="153" t="s">
        <v>168</v>
      </c>
      <c r="F25" s="154">
        <v>849.95</v>
      </c>
      <c r="G25" s="152">
        <v>18</v>
      </c>
      <c r="H25" s="155" t="s">
        <v>171</v>
      </c>
      <c r="I25" s="85">
        <f t="shared" si="0"/>
        <v>15299.1</v>
      </c>
    </row>
    <row r="26" spans="1:12" x14ac:dyDescent="0.2">
      <c r="A26" s="152">
        <v>23</v>
      </c>
      <c r="B26" s="152">
        <v>2</v>
      </c>
      <c r="C26" s="153" t="s">
        <v>176</v>
      </c>
      <c r="D26" s="152">
        <v>8500</v>
      </c>
      <c r="E26" s="153" t="s">
        <v>168</v>
      </c>
      <c r="F26" s="154">
        <v>849.95</v>
      </c>
      <c r="G26" s="152">
        <v>18</v>
      </c>
      <c r="H26" s="155" t="s">
        <v>170</v>
      </c>
      <c r="I26" s="85">
        <f t="shared" si="0"/>
        <v>15299.1</v>
      </c>
    </row>
    <row r="27" spans="1:12" x14ac:dyDescent="0.2">
      <c r="A27" s="152">
        <v>24</v>
      </c>
      <c r="B27" s="152">
        <v>2</v>
      </c>
      <c r="C27" s="153" t="s">
        <v>176</v>
      </c>
      <c r="D27" s="152">
        <v>8500</v>
      </c>
      <c r="E27" s="153" t="s">
        <v>168</v>
      </c>
      <c r="F27" s="154">
        <v>849.95</v>
      </c>
      <c r="G27" s="152">
        <v>20</v>
      </c>
      <c r="H27" s="155" t="s">
        <v>167</v>
      </c>
      <c r="I27" s="85">
        <f t="shared" si="0"/>
        <v>16999</v>
      </c>
    </row>
    <row r="28" spans="1:12" x14ac:dyDescent="0.2">
      <c r="A28" s="152">
        <v>25</v>
      </c>
      <c r="B28" s="152">
        <v>3</v>
      </c>
      <c r="C28" s="153" t="s">
        <v>176</v>
      </c>
      <c r="D28" s="152">
        <v>2005</v>
      </c>
      <c r="E28" s="153" t="s">
        <v>174</v>
      </c>
      <c r="F28" s="154">
        <v>229</v>
      </c>
      <c r="G28" s="152">
        <v>38</v>
      </c>
      <c r="H28" s="155" t="s">
        <v>171</v>
      </c>
      <c r="I28" s="85">
        <f t="shared" si="0"/>
        <v>8702</v>
      </c>
    </row>
    <row r="29" spans="1:12" x14ac:dyDescent="0.2">
      <c r="A29" s="152">
        <v>26</v>
      </c>
      <c r="B29" s="152">
        <v>3</v>
      </c>
      <c r="C29" s="153" t="s">
        <v>176</v>
      </c>
      <c r="D29" s="152">
        <v>2005</v>
      </c>
      <c r="E29" s="153" t="s">
        <v>174</v>
      </c>
      <c r="F29" s="154">
        <v>229</v>
      </c>
      <c r="G29" s="152">
        <v>30</v>
      </c>
      <c r="H29" s="155" t="s">
        <v>170</v>
      </c>
      <c r="I29" s="85">
        <f t="shared" si="0"/>
        <v>6870</v>
      </c>
    </row>
    <row r="30" spans="1:12" x14ac:dyDescent="0.2">
      <c r="A30" s="152">
        <v>27</v>
      </c>
      <c r="B30" s="152">
        <v>3</v>
      </c>
      <c r="C30" s="153" t="s">
        <v>176</v>
      </c>
      <c r="D30" s="152">
        <v>2005</v>
      </c>
      <c r="E30" s="153" t="s">
        <v>174</v>
      </c>
      <c r="F30" s="154">
        <v>229</v>
      </c>
      <c r="G30" s="152">
        <v>3</v>
      </c>
      <c r="H30" s="155" t="s">
        <v>167</v>
      </c>
      <c r="I30" s="85">
        <f t="shared" si="0"/>
        <v>687</v>
      </c>
    </row>
    <row r="31" spans="1:12" x14ac:dyDescent="0.2">
      <c r="A31" s="152">
        <v>28</v>
      </c>
      <c r="B31" s="152">
        <v>3</v>
      </c>
      <c r="C31" s="153" t="s">
        <v>176</v>
      </c>
      <c r="D31" s="152">
        <v>3006</v>
      </c>
      <c r="E31" s="153" t="s">
        <v>173</v>
      </c>
      <c r="F31" s="154">
        <v>19.95</v>
      </c>
      <c r="G31" s="152">
        <v>30</v>
      </c>
      <c r="H31" s="155" t="s">
        <v>171</v>
      </c>
      <c r="I31" s="85">
        <f t="shared" si="0"/>
        <v>598.5</v>
      </c>
    </row>
    <row r="32" spans="1:12" x14ac:dyDescent="0.2">
      <c r="A32" s="152">
        <v>29</v>
      </c>
      <c r="B32" s="152">
        <v>3</v>
      </c>
      <c r="C32" s="153" t="s">
        <v>176</v>
      </c>
      <c r="D32" s="152">
        <v>3006</v>
      </c>
      <c r="E32" s="153" t="s">
        <v>173</v>
      </c>
      <c r="F32" s="154">
        <v>19.95</v>
      </c>
      <c r="G32" s="152">
        <v>32</v>
      </c>
      <c r="H32" s="155" t="s">
        <v>170</v>
      </c>
      <c r="I32" s="85">
        <f t="shared" si="0"/>
        <v>638.4</v>
      </c>
    </row>
    <row r="33" spans="1:9" x14ac:dyDescent="0.2">
      <c r="A33" s="152">
        <v>30</v>
      </c>
      <c r="B33" s="152">
        <v>3</v>
      </c>
      <c r="C33" s="153" t="s">
        <v>176</v>
      </c>
      <c r="D33" s="152">
        <v>3006</v>
      </c>
      <c r="E33" s="153" t="s">
        <v>173</v>
      </c>
      <c r="F33" s="154">
        <v>19.95</v>
      </c>
      <c r="G33" s="152">
        <v>33</v>
      </c>
      <c r="H33" s="155" t="s">
        <v>167</v>
      </c>
      <c r="I33" s="85">
        <f t="shared" si="0"/>
        <v>658.35</v>
      </c>
    </row>
    <row r="34" spans="1:9" x14ac:dyDescent="0.2">
      <c r="A34" s="152">
        <v>31</v>
      </c>
      <c r="B34" s="152">
        <v>3</v>
      </c>
      <c r="C34" s="153" t="s">
        <v>176</v>
      </c>
      <c r="D34" s="152">
        <v>6050</v>
      </c>
      <c r="E34" s="153" t="s">
        <v>172</v>
      </c>
      <c r="F34" s="154">
        <v>8.9499999999999993</v>
      </c>
      <c r="G34" s="152">
        <v>25</v>
      </c>
      <c r="H34" s="155" t="s">
        <v>171</v>
      </c>
      <c r="I34" s="85">
        <f t="shared" si="0"/>
        <v>223.74999999999997</v>
      </c>
    </row>
    <row r="35" spans="1:9" x14ac:dyDescent="0.2">
      <c r="A35" s="152">
        <v>32</v>
      </c>
      <c r="B35" s="152">
        <v>3</v>
      </c>
      <c r="C35" s="153" t="s">
        <v>176</v>
      </c>
      <c r="D35" s="152">
        <v>6050</v>
      </c>
      <c r="E35" s="153" t="s">
        <v>172</v>
      </c>
      <c r="F35" s="154">
        <v>8.9499999999999993</v>
      </c>
      <c r="G35" s="152">
        <v>5</v>
      </c>
      <c r="H35" s="155" t="s">
        <v>170</v>
      </c>
      <c r="I35" s="85">
        <f t="shared" si="0"/>
        <v>44.75</v>
      </c>
    </row>
    <row r="36" spans="1:9" x14ac:dyDescent="0.2">
      <c r="A36" s="152">
        <v>33</v>
      </c>
      <c r="B36" s="152">
        <v>3</v>
      </c>
      <c r="C36" s="153" t="s">
        <v>176</v>
      </c>
      <c r="D36" s="152">
        <v>6050</v>
      </c>
      <c r="E36" s="153" t="s">
        <v>172</v>
      </c>
      <c r="F36" s="154">
        <v>8.9499999999999993</v>
      </c>
      <c r="G36" s="152">
        <v>26</v>
      </c>
      <c r="H36" s="155" t="s">
        <v>167</v>
      </c>
      <c r="I36" s="85">
        <f t="shared" ref="I36:I67" si="1">F36*G36</f>
        <v>232.7</v>
      </c>
    </row>
    <row r="37" spans="1:9" x14ac:dyDescent="0.2">
      <c r="A37" s="152">
        <v>34</v>
      </c>
      <c r="B37" s="152">
        <v>3</v>
      </c>
      <c r="C37" s="153" t="s">
        <v>176</v>
      </c>
      <c r="D37" s="152">
        <v>8500</v>
      </c>
      <c r="E37" s="153" t="s">
        <v>168</v>
      </c>
      <c r="F37" s="154">
        <v>849.95</v>
      </c>
      <c r="G37" s="152">
        <v>28</v>
      </c>
      <c r="H37" s="155" t="s">
        <v>171</v>
      </c>
      <c r="I37" s="85">
        <f t="shared" si="1"/>
        <v>23798.600000000002</v>
      </c>
    </row>
    <row r="38" spans="1:9" x14ac:dyDescent="0.2">
      <c r="A38" s="152">
        <v>35</v>
      </c>
      <c r="B38" s="152">
        <v>3</v>
      </c>
      <c r="C38" s="153" t="s">
        <v>176</v>
      </c>
      <c r="D38" s="152">
        <v>8500</v>
      </c>
      <c r="E38" s="153" t="s">
        <v>168</v>
      </c>
      <c r="F38" s="154">
        <v>849.95</v>
      </c>
      <c r="G38" s="152">
        <v>27</v>
      </c>
      <c r="H38" s="155" t="s">
        <v>170</v>
      </c>
      <c r="I38" s="85">
        <f t="shared" si="1"/>
        <v>22948.65</v>
      </c>
    </row>
    <row r="39" spans="1:9" x14ac:dyDescent="0.2">
      <c r="A39" s="152">
        <v>36</v>
      </c>
      <c r="B39" s="152">
        <v>3</v>
      </c>
      <c r="C39" s="153" t="s">
        <v>176</v>
      </c>
      <c r="D39" s="152">
        <v>8500</v>
      </c>
      <c r="E39" s="153" t="s">
        <v>168</v>
      </c>
      <c r="F39" s="154">
        <v>849.95</v>
      </c>
      <c r="G39" s="152">
        <v>29</v>
      </c>
      <c r="H39" s="155" t="s">
        <v>167</v>
      </c>
      <c r="I39" s="85">
        <f t="shared" si="1"/>
        <v>24648.550000000003</v>
      </c>
    </row>
    <row r="40" spans="1:9" x14ac:dyDescent="0.2">
      <c r="A40" s="152">
        <v>37</v>
      </c>
      <c r="B40" s="152">
        <v>4</v>
      </c>
      <c r="C40" s="153" t="s">
        <v>175</v>
      </c>
      <c r="D40" s="152">
        <v>2005</v>
      </c>
      <c r="E40" s="153" t="s">
        <v>174</v>
      </c>
      <c r="F40" s="154">
        <v>229</v>
      </c>
      <c r="G40" s="152">
        <v>18</v>
      </c>
      <c r="H40" s="155" t="s">
        <v>171</v>
      </c>
      <c r="I40" s="85">
        <f t="shared" si="1"/>
        <v>4122</v>
      </c>
    </row>
    <row r="41" spans="1:9" x14ac:dyDescent="0.2">
      <c r="A41" s="152">
        <v>38</v>
      </c>
      <c r="B41" s="152">
        <v>4</v>
      </c>
      <c r="C41" s="153" t="s">
        <v>175</v>
      </c>
      <c r="D41" s="152">
        <v>2005</v>
      </c>
      <c r="E41" s="153" t="s">
        <v>174</v>
      </c>
      <c r="F41" s="154">
        <v>229</v>
      </c>
      <c r="G41" s="152">
        <v>20</v>
      </c>
      <c r="H41" s="155" t="s">
        <v>170</v>
      </c>
      <c r="I41" s="85">
        <f t="shared" si="1"/>
        <v>4580</v>
      </c>
    </row>
    <row r="42" spans="1:9" x14ac:dyDescent="0.2">
      <c r="A42" s="152">
        <v>39</v>
      </c>
      <c r="B42" s="152">
        <v>4</v>
      </c>
      <c r="C42" s="153" t="s">
        <v>175</v>
      </c>
      <c r="D42" s="152">
        <v>2005</v>
      </c>
      <c r="E42" s="153" t="s">
        <v>174</v>
      </c>
      <c r="F42" s="154">
        <v>229</v>
      </c>
      <c r="G42" s="152">
        <v>4</v>
      </c>
      <c r="H42" s="155" t="s">
        <v>167</v>
      </c>
      <c r="I42" s="85">
        <f t="shared" si="1"/>
        <v>916</v>
      </c>
    </row>
    <row r="43" spans="1:9" x14ac:dyDescent="0.2">
      <c r="A43" s="152">
        <v>40</v>
      </c>
      <c r="B43" s="152">
        <v>4</v>
      </c>
      <c r="C43" s="153" t="s">
        <v>175</v>
      </c>
      <c r="D43" s="152">
        <v>3006</v>
      </c>
      <c r="E43" s="153" t="s">
        <v>173</v>
      </c>
      <c r="F43" s="154">
        <v>19.95</v>
      </c>
      <c r="G43" s="152">
        <v>12</v>
      </c>
      <c r="H43" s="155" t="s">
        <v>171</v>
      </c>
      <c r="I43" s="85">
        <f t="shared" si="1"/>
        <v>239.39999999999998</v>
      </c>
    </row>
    <row r="44" spans="1:9" x14ac:dyDescent="0.2">
      <c r="A44" s="152">
        <v>41</v>
      </c>
      <c r="B44" s="152">
        <v>4</v>
      </c>
      <c r="C44" s="153" t="s">
        <v>175</v>
      </c>
      <c r="D44" s="152">
        <v>3006</v>
      </c>
      <c r="E44" s="153" t="s">
        <v>173</v>
      </c>
      <c r="F44" s="154">
        <v>19.95</v>
      </c>
      <c r="G44" s="152">
        <v>24</v>
      </c>
      <c r="H44" s="155" t="s">
        <v>170</v>
      </c>
      <c r="I44" s="85">
        <f t="shared" si="1"/>
        <v>478.79999999999995</v>
      </c>
    </row>
    <row r="45" spans="1:9" x14ac:dyDescent="0.2">
      <c r="A45" s="152">
        <v>42</v>
      </c>
      <c r="B45" s="152">
        <v>4</v>
      </c>
      <c r="C45" s="153" t="s">
        <v>175</v>
      </c>
      <c r="D45" s="152">
        <v>3006</v>
      </c>
      <c r="E45" s="153" t="s">
        <v>173</v>
      </c>
      <c r="F45" s="154">
        <v>19.95</v>
      </c>
      <c r="G45" s="152">
        <v>36</v>
      </c>
      <c r="H45" s="155" t="s">
        <v>167</v>
      </c>
      <c r="I45" s="85">
        <f t="shared" si="1"/>
        <v>718.19999999999993</v>
      </c>
    </row>
    <row r="46" spans="1:9" x14ac:dyDescent="0.2">
      <c r="A46" s="152">
        <v>43</v>
      </c>
      <c r="B46" s="152">
        <v>4</v>
      </c>
      <c r="C46" s="153" t="s">
        <v>175</v>
      </c>
      <c r="D46" s="152">
        <v>6050</v>
      </c>
      <c r="E46" s="153" t="s">
        <v>172</v>
      </c>
      <c r="F46" s="154">
        <v>8.9499999999999993</v>
      </c>
      <c r="G46" s="152">
        <v>29</v>
      </c>
      <c r="H46" s="155" t="s">
        <v>171</v>
      </c>
      <c r="I46" s="85">
        <f t="shared" si="1"/>
        <v>259.54999999999995</v>
      </c>
    </row>
    <row r="47" spans="1:9" x14ac:dyDescent="0.2">
      <c r="A47" s="152">
        <v>44</v>
      </c>
      <c r="B47" s="152">
        <v>4</v>
      </c>
      <c r="C47" s="153" t="s">
        <v>175</v>
      </c>
      <c r="D47" s="152">
        <v>6050</v>
      </c>
      <c r="E47" s="153" t="s">
        <v>172</v>
      </c>
      <c r="F47" s="154">
        <v>8.9499999999999993</v>
      </c>
      <c r="G47" s="152">
        <v>11</v>
      </c>
      <c r="H47" s="155" t="s">
        <v>170</v>
      </c>
      <c r="I47" s="85">
        <f t="shared" si="1"/>
        <v>98.449999999999989</v>
      </c>
    </row>
    <row r="48" spans="1:9" x14ac:dyDescent="0.2">
      <c r="A48" s="152">
        <v>45</v>
      </c>
      <c r="B48" s="152">
        <v>4</v>
      </c>
      <c r="C48" s="153" t="s">
        <v>175</v>
      </c>
      <c r="D48" s="152">
        <v>6050</v>
      </c>
      <c r="E48" s="153" t="s">
        <v>172</v>
      </c>
      <c r="F48" s="154">
        <v>8.9499999999999993</v>
      </c>
      <c r="G48" s="152">
        <v>38</v>
      </c>
      <c r="H48" s="155" t="s">
        <v>167</v>
      </c>
      <c r="I48" s="85">
        <f t="shared" si="1"/>
        <v>340.09999999999997</v>
      </c>
    </row>
    <row r="49" spans="1:9" x14ac:dyDescent="0.2">
      <c r="A49" s="152">
        <v>46</v>
      </c>
      <c r="B49" s="152">
        <v>4</v>
      </c>
      <c r="C49" s="153" t="s">
        <v>175</v>
      </c>
      <c r="D49" s="152">
        <v>8500</v>
      </c>
      <c r="E49" s="153" t="s">
        <v>168</v>
      </c>
      <c r="F49" s="154">
        <v>849.95</v>
      </c>
      <c r="G49" s="152">
        <v>21</v>
      </c>
      <c r="H49" s="155" t="s">
        <v>171</v>
      </c>
      <c r="I49" s="85">
        <f t="shared" si="1"/>
        <v>17848.95</v>
      </c>
    </row>
    <row r="50" spans="1:9" x14ac:dyDescent="0.2">
      <c r="A50" s="152">
        <v>47</v>
      </c>
      <c r="B50" s="152">
        <v>4</v>
      </c>
      <c r="C50" s="153" t="s">
        <v>175</v>
      </c>
      <c r="D50" s="152">
        <v>8500</v>
      </c>
      <c r="E50" s="153" t="s">
        <v>168</v>
      </c>
      <c r="F50" s="154">
        <v>849.95</v>
      </c>
      <c r="G50" s="152">
        <v>24</v>
      </c>
      <c r="H50" s="155" t="s">
        <v>170</v>
      </c>
      <c r="I50" s="85">
        <f t="shared" si="1"/>
        <v>20398.800000000003</v>
      </c>
    </row>
    <row r="51" spans="1:9" x14ac:dyDescent="0.2">
      <c r="A51" s="152">
        <v>48</v>
      </c>
      <c r="B51" s="152">
        <v>4</v>
      </c>
      <c r="C51" s="153" t="s">
        <v>175</v>
      </c>
      <c r="D51" s="152">
        <v>8500</v>
      </c>
      <c r="E51" s="153" t="s">
        <v>168</v>
      </c>
      <c r="F51" s="154">
        <v>849.95</v>
      </c>
      <c r="G51" s="152">
        <v>30</v>
      </c>
      <c r="H51" s="155" t="s">
        <v>167</v>
      </c>
      <c r="I51" s="85">
        <f t="shared" si="1"/>
        <v>25498.5</v>
      </c>
    </row>
    <row r="52" spans="1:9" x14ac:dyDescent="0.2">
      <c r="A52" s="152">
        <v>49</v>
      </c>
      <c r="B52" s="152">
        <v>5</v>
      </c>
      <c r="C52" s="153" t="s">
        <v>175</v>
      </c>
      <c r="D52" s="152">
        <v>2005</v>
      </c>
      <c r="E52" s="153" t="s">
        <v>174</v>
      </c>
      <c r="F52" s="154">
        <v>229</v>
      </c>
      <c r="G52" s="152">
        <v>27</v>
      </c>
      <c r="H52" s="155" t="s">
        <v>171</v>
      </c>
      <c r="I52" s="85">
        <f t="shared" si="1"/>
        <v>6183</v>
      </c>
    </row>
    <row r="53" spans="1:9" x14ac:dyDescent="0.2">
      <c r="A53" s="152">
        <v>50</v>
      </c>
      <c r="B53" s="152">
        <v>5</v>
      </c>
      <c r="C53" s="153" t="s">
        <v>175</v>
      </c>
      <c r="D53" s="152">
        <v>2005</v>
      </c>
      <c r="E53" s="153" t="s">
        <v>174</v>
      </c>
      <c r="F53" s="154">
        <v>229</v>
      </c>
      <c r="G53" s="152">
        <v>25</v>
      </c>
      <c r="H53" s="155" t="s">
        <v>170</v>
      </c>
      <c r="I53" s="85">
        <f t="shared" si="1"/>
        <v>5725</v>
      </c>
    </row>
    <row r="54" spans="1:9" x14ac:dyDescent="0.2">
      <c r="A54" s="152">
        <v>51</v>
      </c>
      <c r="B54" s="152">
        <v>5</v>
      </c>
      <c r="C54" s="153" t="s">
        <v>175</v>
      </c>
      <c r="D54" s="152">
        <v>2005</v>
      </c>
      <c r="E54" s="153" t="s">
        <v>174</v>
      </c>
      <c r="F54" s="154">
        <v>229</v>
      </c>
      <c r="G54" s="152">
        <v>23</v>
      </c>
      <c r="H54" s="155" t="s">
        <v>167</v>
      </c>
      <c r="I54" s="85">
        <f t="shared" si="1"/>
        <v>5267</v>
      </c>
    </row>
    <row r="55" spans="1:9" x14ac:dyDescent="0.2">
      <c r="A55" s="152">
        <v>52</v>
      </c>
      <c r="B55" s="152">
        <v>5</v>
      </c>
      <c r="C55" s="153" t="s">
        <v>175</v>
      </c>
      <c r="D55" s="152">
        <v>3006</v>
      </c>
      <c r="E55" s="153" t="s">
        <v>173</v>
      </c>
      <c r="F55" s="154">
        <v>19.95</v>
      </c>
      <c r="G55" s="152">
        <v>80</v>
      </c>
      <c r="H55" s="155" t="s">
        <v>171</v>
      </c>
      <c r="I55" s="85">
        <f t="shared" si="1"/>
        <v>1596</v>
      </c>
    </row>
    <row r="56" spans="1:9" x14ac:dyDescent="0.2">
      <c r="A56" s="152">
        <v>53</v>
      </c>
      <c r="B56" s="152">
        <v>5</v>
      </c>
      <c r="C56" s="153" t="s">
        <v>175</v>
      </c>
      <c r="D56" s="152">
        <v>3006</v>
      </c>
      <c r="E56" s="153" t="s">
        <v>173</v>
      </c>
      <c r="F56" s="154">
        <v>19.95</v>
      </c>
      <c r="G56" s="152">
        <v>82</v>
      </c>
      <c r="H56" s="155" t="s">
        <v>170</v>
      </c>
      <c r="I56" s="85">
        <f t="shared" si="1"/>
        <v>1635.8999999999999</v>
      </c>
    </row>
    <row r="57" spans="1:9" x14ac:dyDescent="0.2">
      <c r="A57" s="152">
        <v>54</v>
      </c>
      <c r="B57" s="152">
        <v>5</v>
      </c>
      <c r="C57" s="153" t="s">
        <v>175</v>
      </c>
      <c r="D57" s="152">
        <v>3006</v>
      </c>
      <c r="E57" s="153" t="s">
        <v>173</v>
      </c>
      <c r="F57" s="154">
        <v>19.95</v>
      </c>
      <c r="G57" s="152">
        <v>75</v>
      </c>
      <c r="H57" s="155" t="s">
        <v>167</v>
      </c>
      <c r="I57" s="85">
        <f t="shared" si="1"/>
        <v>1496.25</v>
      </c>
    </row>
    <row r="58" spans="1:9" x14ac:dyDescent="0.2">
      <c r="A58" s="152">
        <v>55</v>
      </c>
      <c r="B58" s="152">
        <v>5</v>
      </c>
      <c r="C58" s="153" t="s">
        <v>175</v>
      </c>
      <c r="D58" s="152">
        <v>6050</v>
      </c>
      <c r="E58" s="153" t="s">
        <v>172</v>
      </c>
      <c r="F58" s="154">
        <v>8.9499999999999993</v>
      </c>
      <c r="G58" s="152">
        <v>65</v>
      </c>
      <c r="H58" s="155" t="s">
        <v>171</v>
      </c>
      <c r="I58" s="85">
        <f t="shared" si="1"/>
        <v>581.75</v>
      </c>
    </row>
    <row r="59" spans="1:9" x14ac:dyDescent="0.2">
      <c r="A59" s="152">
        <v>56</v>
      </c>
      <c r="B59" s="152">
        <v>5</v>
      </c>
      <c r="C59" s="153" t="s">
        <v>175</v>
      </c>
      <c r="D59" s="152">
        <v>6050</v>
      </c>
      <c r="E59" s="153" t="s">
        <v>172</v>
      </c>
      <c r="F59" s="154">
        <v>8.9499999999999993</v>
      </c>
      <c r="G59" s="152">
        <v>24</v>
      </c>
      <c r="H59" s="155" t="s">
        <v>170</v>
      </c>
      <c r="I59" s="85">
        <f t="shared" si="1"/>
        <v>214.79999999999998</v>
      </c>
    </row>
    <row r="60" spans="1:9" x14ac:dyDescent="0.2">
      <c r="A60" s="152">
        <v>57</v>
      </c>
      <c r="B60" s="152">
        <v>5</v>
      </c>
      <c r="C60" s="153" t="s">
        <v>175</v>
      </c>
      <c r="D60" s="152">
        <v>6050</v>
      </c>
      <c r="E60" s="153" t="s">
        <v>172</v>
      </c>
      <c r="F60" s="154">
        <v>8.9499999999999993</v>
      </c>
      <c r="G60" s="152">
        <v>55</v>
      </c>
      <c r="H60" s="155" t="s">
        <v>167</v>
      </c>
      <c r="I60" s="85">
        <f t="shared" si="1"/>
        <v>492.24999999999994</v>
      </c>
    </row>
    <row r="61" spans="1:9" x14ac:dyDescent="0.2">
      <c r="A61" s="152">
        <v>58</v>
      </c>
      <c r="B61" s="152">
        <v>5</v>
      </c>
      <c r="C61" s="153" t="s">
        <v>175</v>
      </c>
      <c r="D61" s="152">
        <v>8500</v>
      </c>
      <c r="E61" s="153" t="s">
        <v>168</v>
      </c>
      <c r="F61" s="154">
        <v>849.95</v>
      </c>
      <c r="G61" s="152">
        <v>55</v>
      </c>
      <c r="H61" s="155" t="s">
        <v>171</v>
      </c>
      <c r="I61" s="85">
        <f t="shared" si="1"/>
        <v>46747.25</v>
      </c>
    </row>
    <row r="62" spans="1:9" x14ac:dyDescent="0.2">
      <c r="A62" s="152">
        <v>59</v>
      </c>
      <c r="B62" s="152">
        <v>5</v>
      </c>
      <c r="C62" s="153" t="s">
        <v>175</v>
      </c>
      <c r="D62" s="152">
        <v>8500</v>
      </c>
      <c r="E62" s="153" t="s">
        <v>168</v>
      </c>
      <c r="F62" s="154">
        <v>849.95</v>
      </c>
      <c r="G62" s="152">
        <v>57</v>
      </c>
      <c r="H62" s="155" t="s">
        <v>170</v>
      </c>
      <c r="I62" s="85">
        <f t="shared" si="1"/>
        <v>48447.15</v>
      </c>
    </row>
    <row r="63" spans="1:9" x14ac:dyDescent="0.2">
      <c r="A63" s="152">
        <v>60</v>
      </c>
      <c r="B63" s="152">
        <v>5</v>
      </c>
      <c r="C63" s="153" t="s">
        <v>175</v>
      </c>
      <c r="D63" s="152">
        <v>8500</v>
      </c>
      <c r="E63" s="153" t="s">
        <v>168</v>
      </c>
      <c r="F63" s="154">
        <v>849.95</v>
      </c>
      <c r="G63" s="152">
        <v>47</v>
      </c>
      <c r="H63" s="155" t="s">
        <v>167</v>
      </c>
      <c r="I63" s="85">
        <f t="shared" si="1"/>
        <v>39947.65</v>
      </c>
    </row>
    <row r="64" spans="1:9" x14ac:dyDescent="0.2">
      <c r="A64" s="152">
        <v>61</v>
      </c>
      <c r="B64" s="152">
        <v>6</v>
      </c>
      <c r="C64" s="153" t="s">
        <v>169</v>
      </c>
      <c r="D64" s="152">
        <v>2005</v>
      </c>
      <c r="E64" s="153" t="s">
        <v>174</v>
      </c>
      <c r="F64" s="154">
        <v>229</v>
      </c>
      <c r="G64" s="152">
        <v>24</v>
      </c>
      <c r="H64" s="155" t="s">
        <v>171</v>
      </c>
      <c r="I64" s="85">
        <f t="shared" si="1"/>
        <v>5496</v>
      </c>
    </row>
    <row r="65" spans="1:9" x14ac:dyDescent="0.2">
      <c r="A65" s="152">
        <v>62</v>
      </c>
      <c r="B65" s="152">
        <v>6</v>
      </c>
      <c r="C65" s="153" t="s">
        <v>169</v>
      </c>
      <c r="D65" s="152">
        <v>2005</v>
      </c>
      <c r="E65" s="153" t="s">
        <v>174</v>
      </c>
      <c r="F65" s="154">
        <v>229</v>
      </c>
      <c r="G65" s="152">
        <v>85</v>
      </c>
      <c r="H65" s="155" t="s">
        <v>170</v>
      </c>
      <c r="I65" s="85">
        <f t="shared" si="1"/>
        <v>19465</v>
      </c>
    </row>
    <row r="66" spans="1:9" x14ac:dyDescent="0.2">
      <c r="A66" s="152">
        <v>63</v>
      </c>
      <c r="B66" s="152">
        <v>6</v>
      </c>
      <c r="C66" s="153" t="s">
        <v>169</v>
      </c>
      <c r="D66" s="152">
        <v>2005</v>
      </c>
      <c r="E66" s="153" t="s">
        <v>174</v>
      </c>
      <c r="F66" s="154">
        <v>229</v>
      </c>
      <c r="G66" s="152">
        <v>56</v>
      </c>
      <c r="H66" s="155" t="s">
        <v>167</v>
      </c>
      <c r="I66" s="85">
        <f t="shared" si="1"/>
        <v>12824</v>
      </c>
    </row>
    <row r="67" spans="1:9" x14ac:dyDescent="0.2">
      <c r="A67" s="152">
        <v>64</v>
      </c>
      <c r="B67" s="152">
        <v>6</v>
      </c>
      <c r="C67" s="153" t="s">
        <v>169</v>
      </c>
      <c r="D67" s="152">
        <v>3006</v>
      </c>
      <c r="E67" s="153" t="s">
        <v>173</v>
      </c>
      <c r="F67" s="154">
        <v>19.95</v>
      </c>
      <c r="G67" s="152">
        <v>52</v>
      </c>
      <c r="H67" s="155" t="s">
        <v>171</v>
      </c>
      <c r="I67" s="85">
        <f t="shared" si="1"/>
        <v>1037.3999999999999</v>
      </c>
    </row>
    <row r="68" spans="1:9" x14ac:dyDescent="0.2">
      <c r="A68" s="152">
        <v>65</v>
      </c>
      <c r="B68" s="152">
        <v>6</v>
      </c>
      <c r="C68" s="153" t="s">
        <v>169</v>
      </c>
      <c r="D68" s="152">
        <v>3006</v>
      </c>
      <c r="E68" s="153" t="s">
        <v>173</v>
      </c>
      <c r="F68" s="154">
        <v>19.95</v>
      </c>
      <c r="G68" s="152">
        <v>58</v>
      </c>
      <c r="H68" s="155" t="s">
        <v>170</v>
      </c>
      <c r="I68" s="85">
        <f t="shared" ref="I68:I99" si="2">F68*G68</f>
        <v>1157.0999999999999</v>
      </c>
    </row>
    <row r="69" spans="1:9" x14ac:dyDescent="0.2">
      <c r="A69" s="152">
        <v>66</v>
      </c>
      <c r="B69" s="152">
        <v>6</v>
      </c>
      <c r="C69" s="153" t="s">
        <v>169</v>
      </c>
      <c r="D69" s="152">
        <v>3006</v>
      </c>
      <c r="E69" s="153" t="s">
        <v>173</v>
      </c>
      <c r="F69" s="154">
        <v>19.95</v>
      </c>
      <c r="G69" s="152">
        <v>69</v>
      </c>
      <c r="H69" s="155" t="s">
        <v>167</v>
      </c>
      <c r="I69" s="85">
        <f t="shared" si="2"/>
        <v>1376.55</v>
      </c>
    </row>
    <row r="70" spans="1:9" x14ac:dyDescent="0.2">
      <c r="A70" s="152">
        <v>67</v>
      </c>
      <c r="B70" s="152">
        <v>6</v>
      </c>
      <c r="C70" s="153" t="s">
        <v>169</v>
      </c>
      <c r="D70" s="152">
        <v>6050</v>
      </c>
      <c r="E70" s="153" t="s">
        <v>172</v>
      </c>
      <c r="F70" s="154">
        <v>8.9499999999999993</v>
      </c>
      <c r="G70" s="152">
        <v>35</v>
      </c>
      <c r="H70" s="155" t="s">
        <v>171</v>
      </c>
      <c r="I70" s="85">
        <f t="shared" si="2"/>
        <v>313.25</v>
      </c>
    </row>
    <row r="71" spans="1:9" x14ac:dyDescent="0.2">
      <c r="A71" s="152">
        <v>68</v>
      </c>
      <c r="B71" s="152">
        <v>6</v>
      </c>
      <c r="C71" s="153" t="s">
        <v>169</v>
      </c>
      <c r="D71" s="152">
        <v>6050</v>
      </c>
      <c r="E71" s="153" t="s">
        <v>172</v>
      </c>
      <c r="F71" s="154">
        <v>8.9499999999999993</v>
      </c>
      <c r="G71" s="152">
        <v>39</v>
      </c>
      <c r="H71" s="155" t="s">
        <v>170</v>
      </c>
      <c r="I71" s="85">
        <f t="shared" si="2"/>
        <v>349.04999999999995</v>
      </c>
    </row>
    <row r="72" spans="1:9" x14ac:dyDescent="0.2">
      <c r="A72" s="152">
        <v>69</v>
      </c>
      <c r="B72" s="152">
        <v>6</v>
      </c>
      <c r="C72" s="153" t="s">
        <v>169</v>
      </c>
      <c r="D72" s="152">
        <v>6050</v>
      </c>
      <c r="E72" s="153" t="s">
        <v>172</v>
      </c>
      <c r="F72" s="154">
        <v>8.9499999999999993</v>
      </c>
      <c r="G72" s="152">
        <v>44</v>
      </c>
      <c r="H72" s="155" t="s">
        <v>167</v>
      </c>
      <c r="I72" s="85">
        <f t="shared" si="2"/>
        <v>393.79999999999995</v>
      </c>
    </row>
    <row r="73" spans="1:9" x14ac:dyDescent="0.2">
      <c r="A73" s="152">
        <v>70</v>
      </c>
      <c r="B73" s="152">
        <v>6</v>
      </c>
      <c r="C73" s="153" t="s">
        <v>169</v>
      </c>
      <c r="D73" s="152">
        <v>8500</v>
      </c>
      <c r="E73" s="153" t="s">
        <v>168</v>
      </c>
      <c r="F73" s="154">
        <v>849.95</v>
      </c>
      <c r="G73" s="152">
        <v>78</v>
      </c>
      <c r="H73" s="155" t="s">
        <v>171</v>
      </c>
      <c r="I73" s="85">
        <f t="shared" si="2"/>
        <v>66296.100000000006</v>
      </c>
    </row>
    <row r="74" spans="1:9" x14ac:dyDescent="0.2">
      <c r="A74" s="152">
        <v>71</v>
      </c>
      <c r="B74" s="152">
        <v>6</v>
      </c>
      <c r="C74" s="153" t="s">
        <v>169</v>
      </c>
      <c r="D74" s="152">
        <v>8500</v>
      </c>
      <c r="E74" s="153" t="s">
        <v>168</v>
      </c>
      <c r="F74" s="154">
        <v>849.95</v>
      </c>
      <c r="G74" s="152">
        <v>88</v>
      </c>
      <c r="H74" s="155" t="s">
        <v>170</v>
      </c>
      <c r="I74" s="85">
        <f t="shared" si="2"/>
        <v>74795.600000000006</v>
      </c>
    </row>
    <row r="75" spans="1:9" x14ac:dyDescent="0.2">
      <c r="A75" s="152">
        <v>72</v>
      </c>
      <c r="B75" s="152">
        <v>6</v>
      </c>
      <c r="C75" s="153" t="s">
        <v>169</v>
      </c>
      <c r="D75" s="152">
        <v>8500</v>
      </c>
      <c r="E75" s="153" t="s">
        <v>168</v>
      </c>
      <c r="F75" s="154">
        <v>849.95</v>
      </c>
      <c r="G75" s="152">
        <v>99</v>
      </c>
      <c r="H75" s="155" t="s">
        <v>167</v>
      </c>
      <c r="I75" s="85">
        <f t="shared" si="2"/>
        <v>84145.05</v>
      </c>
    </row>
    <row r="76" spans="1:9" x14ac:dyDescent="0.2">
      <c r="A76" s="152">
        <v>73</v>
      </c>
      <c r="B76" s="152">
        <v>7</v>
      </c>
      <c r="C76" s="153" t="s">
        <v>169</v>
      </c>
      <c r="D76" s="152">
        <v>2005</v>
      </c>
      <c r="E76" s="153" t="s">
        <v>174</v>
      </c>
      <c r="F76" s="154">
        <v>229</v>
      </c>
      <c r="G76" s="152">
        <v>34</v>
      </c>
      <c r="H76" s="155" t="s">
        <v>171</v>
      </c>
      <c r="I76" s="85">
        <f t="shared" si="2"/>
        <v>7786</v>
      </c>
    </row>
    <row r="77" spans="1:9" x14ac:dyDescent="0.2">
      <c r="A77" s="152">
        <v>74</v>
      </c>
      <c r="B77" s="152">
        <v>7</v>
      </c>
      <c r="C77" s="153" t="s">
        <v>169</v>
      </c>
      <c r="D77" s="152">
        <v>2005</v>
      </c>
      <c r="E77" s="153" t="s">
        <v>174</v>
      </c>
      <c r="F77" s="154">
        <v>229</v>
      </c>
      <c r="G77" s="152">
        <v>36</v>
      </c>
      <c r="H77" s="155" t="s">
        <v>170</v>
      </c>
      <c r="I77" s="85">
        <f t="shared" si="2"/>
        <v>8244</v>
      </c>
    </row>
    <row r="78" spans="1:9" x14ac:dyDescent="0.2">
      <c r="A78" s="152">
        <v>75</v>
      </c>
      <c r="B78" s="152">
        <v>7</v>
      </c>
      <c r="C78" s="153" t="s">
        <v>169</v>
      </c>
      <c r="D78" s="152">
        <v>2005</v>
      </c>
      <c r="E78" s="153" t="s">
        <v>174</v>
      </c>
      <c r="F78" s="154">
        <v>229</v>
      </c>
      <c r="G78" s="152">
        <v>35</v>
      </c>
      <c r="H78" s="155" t="s">
        <v>167</v>
      </c>
      <c r="I78" s="85">
        <f t="shared" si="2"/>
        <v>8015</v>
      </c>
    </row>
    <row r="79" spans="1:9" x14ac:dyDescent="0.2">
      <c r="A79" s="152">
        <v>76</v>
      </c>
      <c r="B79" s="152">
        <v>7</v>
      </c>
      <c r="C79" s="153" t="s">
        <v>169</v>
      </c>
      <c r="D79" s="152">
        <v>3006</v>
      </c>
      <c r="E79" s="153" t="s">
        <v>173</v>
      </c>
      <c r="F79" s="154">
        <v>19.95</v>
      </c>
      <c r="G79" s="152">
        <v>49</v>
      </c>
      <c r="H79" s="155" t="s">
        <v>171</v>
      </c>
      <c r="I79" s="85">
        <f t="shared" si="2"/>
        <v>977.55</v>
      </c>
    </row>
    <row r="80" spans="1:9" x14ac:dyDescent="0.2">
      <c r="A80" s="152">
        <v>77</v>
      </c>
      <c r="B80" s="152">
        <v>7</v>
      </c>
      <c r="C80" s="153" t="s">
        <v>169</v>
      </c>
      <c r="D80" s="152">
        <v>3006</v>
      </c>
      <c r="E80" s="153" t="s">
        <v>173</v>
      </c>
      <c r="F80" s="154">
        <v>19.95</v>
      </c>
      <c r="G80" s="152">
        <v>47</v>
      </c>
      <c r="H80" s="155" t="s">
        <v>170</v>
      </c>
      <c r="I80" s="85">
        <f t="shared" si="2"/>
        <v>937.65</v>
      </c>
    </row>
    <row r="81" spans="1:9" x14ac:dyDescent="0.2">
      <c r="A81" s="152">
        <v>78</v>
      </c>
      <c r="B81" s="152">
        <v>7</v>
      </c>
      <c r="C81" s="153" t="s">
        <v>169</v>
      </c>
      <c r="D81" s="152">
        <v>3006</v>
      </c>
      <c r="E81" s="153" t="s">
        <v>173</v>
      </c>
      <c r="F81" s="154">
        <v>19.95</v>
      </c>
      <c r="G81" s="152">
        <v>48</v>
      </c>
      <c r="H81" s="155" t="s">
        <v>167</v>
      </c>
      <c r="I81" s="85">
        <f t="shared" si="2"/>
        <v>957.59999999999991</v>
      </c>
    </row>
    <row r="82" spans="1:9" x14ac:dyDescent="0.2">
      <c r="A82" s="152">
        <v>79</v>
      </c>
      <c r="B82" s="152">
        <v>7</v>
      </c>
      <c r="C82" s="153" t="s">
        <v>169</v>
      </c>
      <c r="D82" s="152">
        <v>6050</v>
      </c>
      <c r="E82" s="153" t="s">
        <v>172</v>
      </c>
      <c r="F82" s="154">
        <v>8.9499999999999993</v>
      </c>
      <c r="G82" s="152">
        <v>45</v>
      </c>
      <c r="H82" s="155" t="s">
        <v>171</v>
      </c>
      <c r="I82" s="85">
        <f t="shared" si="2"/>
        <v>402.74999999999994</v>
      </c>
    </row>
    <row r="83" spans="1:9" x14ac:dyDescent="0.2">
      <c r="A83" s="152">
        <v>80</v>
      </c>
      <c r="B83" s="152">
        <v>7</v>
      </c>
      <c r="C83" s="153" t="s">
        <v>169</v>
      </c>
      <c r="D83" s="152">
        <v>6050</v>
      </c>
      <c r="E83" s="153" t="s">
        <v>172</v>
      </c>
      <c r="F83" s="154">
        <v>8.9499999999999993</v>
      </c>
      <c r="G83" s="152">
        <v>42</v>
      </c>
      <c r="H83" s="155" t="s">
        <v>170</v>
      </c>
      <c r="I83" s="85">
        <f t="shared" si="2"/>
        <v>375.9</v>
      </c>
    </row>
    <row r="84" spans="1:9" x14ac:dyDescent="0.2">
      <c r="A84" s="152">
        <v>81</v>
      </c>
      <c r="B84" s="152">
        <v>7</v>
      </c>
      <c r="C84" s="153" t="s">
        <v>169</v>
      </c>
      <c r="D84" s="152">
        <v>6050</v>
      </c>
      <c r="E84" s="153" t="s">
        <v>172</v>
      </c>
      <c r="F84" s="154">
        <v>8.9499999999999993</v>
      </c>
      <c r="G84" s="152">
        <v>45</v>
      </c>
      <c r="H84" s="155" t="s">
        <v>167</v>
      </c>
      <c r="I84" s="85">
        <f t="shared" si="2"/>
        <v>402.74999999999994</v>
      </c>
    </row>
    <row r="85" spans="1:9" x14ac:dyDescent="0.2">
      <c r="A85" s="152">
        <v>82</v>
      </c>
      <c r="B85" s="152">
        <v>7</v>
      </c>
      <c r="C85" s="153" t="s">
        <v>169</v>
      </c>
      <c r="D85" s="152">
        <v>8500</v>
      </c>
      <c r="E85" s="153" t="s">
        <v>168</v>
      </c>
      <c r="F85" s="154">
        <v>849.95</v>
      </c>
      <c r="G85" s="152">
        <v>55</v>
      </c>
      <c r="H85" s="155" t="s">
        <v>171</v>
      </c>
      <c r="I85" s="85">
        <f t="shared" si="2"/>
        <v>46747.25</v>
      </c>
    </row>
    <row r="86" spans="1:9" x14ac:dyDescent="0.2">
      <c r="A86" s="152">
        <v>83</v>
      </c>
      <c r="B86" s="152">
        <v>7</v>
      </c>
      <c r="C86" s="153" t="s">
        <v>169</v>
      </c>
      <c r="D86" s="152">
        <v>8500</v>
      </c>
      <c r="E86" s="153" t="s">
        <v>168</v>
      </c>
      <c r="F86" s="154">
        <v>849.95</v>
      </c>
      <c r="G86" s="152">
        <v>57</v>
      </c>
      <c r="H86" s="155" t="s">
        <v>170</v>
      </c>
      <c r="I86" s="85">
        <f t="shared" si="2"/>
        <v>48447.15</v>
      </c>
    </row>
    <row r="87" spans="1:9" x14ac:dyDescent="0.2">
      <c r="A87" s="152">
        <v>84</v>
      </c>
      <c r="B87" s="152">
        <v>7</v>
      </c>
      <c r="C87" s="153" t="s">
        <v>169</v>
      </c>
      <c r="D87" s="152">
        <v>8500</v>
      </c>
      <c r="E87" s="153" t="s">
        <v>168</v>
      </c>
      <c r="F87" s="154">
        <v>849.95</v>
      </c>
      <c r="G87" s="152">
        <v>55</v>
      </c>
      <c r="H87" s="155" t="s">
        <v>167</v>
      </c>
      <c r="I87" s="85">
        <f t="shared" si="2"/>
        <v>46747.25</v>
      </c>
    </row>
    <row r="88" spans="1:9" x14ac:dyDescent="0.2">
      <c r="A88" s="152">
        <v>85</v>
      </c>
      <c r="B88" s="152">
        <v>8</v>
      </c>
      <c r="C88" s="153" t="s">
        <v>169</v>
      </c>
      <c r="D88" s="152">
        <v>2005</v>
      </c>
      <c r="E88" s="153" t="s">
        <v>174</v>
      </c>
      <c r="F88" s="154">
        <v>229</v>
      </c>
      <c r="G88" s="152">
        <v>18</v>
      </c>
      <c r="H88" s="155" t="s">
        <v>171</v>
      </c>
      <c r="I88" s="85">
        <f t="shared" si="2"/>
        <v>4122</v>
      </c>
    </row>
    <row r="89" spans="1:9" x14ac:dyDescent="0.2">
      <c r="A89" s="152">
        <v>86</v>
      </c>
      <c r="B89" s="152">
        <v>8</v>
      </c>
      <c r="C89" s="153" t="s">
        <v>169</v>
      </c>
      <c r="D89" s="152">
        <v>2005</v>
      </c>
      <c r="E89" s="153" t="s">
        <v>174</v>
      </c>
      <c r="F89" s="154">
        <v>229</v>
      </c>
      <c r="G89" s="152">
        <v>17</v>
      </c>
      <c r="H89" s="155" t="s">
        <v>170</v>
      </c>
      <c r="I89" s="85">
        <f t="shared" si="2"/>
        <v>3893</v>
      </c>
    </row>
    <row r="90" spans="1:9" x14ac:dyDescent="0.2">
      <c r="A90" s="152">
        <v>87</v>
      </c>
      <c r="B90" s="152">
        <v>8</v>
      </c>
      <c r="C90" s="153" t="s">
        <v>169</v>
      </c>
      <c r="D90" s="152">
        <v>2005</v>
      </c>
      <c r="E90" s="153" t="s">
        <v>174</v>
      </c>
      <c r="F90" s="154">
        <v>229</v>
      </c>
      <c r="G90" s="152">
        <v>23</v>
      </c>
      <c r="H90" s="155" t="s">
        <v>167</v>
      </c>
      <c r="I90" s="85">
        <f t="shared" si="2"/>
        <v>5267</v>
      </c>
    </row>
    <row r="91" spans="1:9" x14ac:dyDescent="0.2">
      <c r="A91" s="152">
        <v>88</v>
      </c>
      <c r="B91" s="152">
        <v>8</v>
      </c>
      <c r="C91" s="153" t="s">
        <v>169</v>
      </c>
      <c r="D91" s="152">
        <v>3006</v>
      </c>
      <c r="E91" s="153" t="s">
        <v>173</v>
      </c>
      <c r="F91" s="154">
        <v>19.95</v>
      </c>
      <c r="G91" s="152">
        <v>22</v>
      </c>
      <c r="H91" s="155" t="s">
        <v>171</v>
      </c>
      <c r="I91" s="85">
        <f t="shared" si="2"/>
        <v>438.9</v>
      </c>
    </row>
    <row r="92" spans="1:9" x14ac:dyDescent="0.2">
      <c r="A92" s="152">
        <v>89</v>
      </c>
      <c r="B92" s="152">
        <v>8</v>
      </c>
      <c r="C92" s="153" t="s">
        <v>169</v>
      </c>
      <c r="D92" s="152">
        <v>3006</v>
      </c>
      <c r="E92" s="153" t="s">
        <v>173</v>
      </c>
      <c r="F92" s="154">
        <v>19.95</v>
      </c>
      <c r="G92" s="152">
        <v>18</v>
      </c>
      <c r="H92" s="155" t="s">
        <v>170</v>
      </c>
      <c r="I92" s="85">
        <f t="shared" si="2"/>
        <v>359.09999999999997</v>
      </c>
    </row>
    <row r="93" spans="1:9" x14ac:dyDescent="0.2">
      <c r="A93" s="152">
        <v>90</v>
      </c>
      <c r="B93" s="152">
        <v>8</v>
      </c>
      <c r="C93" s="153" t="s">
        <v>169</v>
      </c>
      <c r="D93" s="152">
        <v>3006</v>
      </c>
      <c r="E93" s="153" t="s">
        <v>173</v>
      </c>
      <c r="F93" s="154">
        <v>19.95</v>
      </c>
      <c r="G93" s="152">
        <v>22</v>
      </c>
      <c r="H93" s="155" t="s">
        <v>167</v>
      </c>
      <c r="I93" s="85">
        <f t="shared" si="2"/>
        <v>438.9</v>
      </c>
    </row>
    <row r="94" spans="1:9" x14ac:dyDescent="0.2">
      <c r="A94" s="152">
        <v>91</v>
      </c>
      <c r="B94" s="152">
        <v>8</v>
      </c>
      <c r="C94" s="153" t="s">
        <v>169</v>
      </c>
      <c r="D94" s="152">
        <v>6050</v>
      </c>
      <c r="E94" s="153" t="s">
        <v>172</v>
      </c>
      <c r="F94" s="154">
        <v>8.9499999999999993</v>
      </c>
      <c r="G94" s="152">
        <v>14</v>
      </c>
      <c r="H94" s="155" t="s">
        <v>171</v>
      </c>
      <c r="I94" s="85">
        <f t="shared" si="2"/>
        <v>125.29999999999998</v>
      </c>
    </row>
    <row r="95" spans="1:9" x14ac:dyDescent="0.2">
      <c r="A95" s="152">
        <v>92</v>
      </c>
      <c r="B95" s="152">
        <v>8</v>
      </c>
      <c r="C95" s="153" t="s">
        <v>169</v>
      </c>
      <c r="D95" s="152">
        <v>6050</v>
      </c>
      <c r="E95" s="153" t="s">
        <v>172</v>
      </c>
      <c r="F95" s="154">
        <v>8.9499999999999993</v>
      </c>
      <c r="G95" s="152">
        <v>16</v>
      </c>
      <c r="H95" s="155" t="s">
        <v>170</v>
      </c>
      <c r="I95" s="85">
        <f t="shared" si="2"/>
        <v>143.19999999999999</v>
      </c>
    </row>
    <row r="96" spans="1:9" x14ac:dyDescent="0.2">
      <c r="A96" s="152">
        <v>93</v>
      </c>
      <c r="B96" s="152">
        <v>8</v>
      </c>
      <c r="C96" s="153" t="s">
        <v>169</v>
      </c>
      <c r="D96" s="152">
        <v>6050</v>
      </c>
      <c r="E96" s="153" t="s">
        <v>172</v>
      </c>
      <c r="F96" s="154">
        <v>8.9499999999999993</v>
      </c>
      <c r="G96" s="152">
        <v>17</v>
      </c>
      <c r="H96" s="155" t="s">
        <v>167</v>
      </c>
      <c r="I96" s="85">
        <f t="shared" si="2"/>
        <v>152.14999999999998</v>
      </c>
    </row>
    <row r="97" spans="1:9" x14ac:dyDescent="0.2">
      <c r="A97" s="152">
        <v>94</v>
      </c>
      <c r="B97" s="152">
        <v>8</v>
      </c>
      <c r="C97" s="153" t="s">
        <v>169</v>
      </c>
      <c r="D97" s="152">
        <v>8500</v>
      </c>
      <c r="E97" s="153" t="s">
        <v>168</v>
      </c>
      <c r="F97" s="154">
        <v>849.95</v>
      </c>
      <c r="G97" s="152">
        <v>32</v>
      </c>
      <c r="H97" s="155" t="s">
        <v>171</v>
      </c>
      <c r="I97" s="85">
        <f t="shared" si="2"/>
        <v>27198.400000000001</v>
      </c>
    </row>
    <row r="98" spans="1:9" x14ac:dyDescent="0.2">
      <c r="A98" s="152">
        <v>95</v>
      </c>
      <c r="B98" s="152">
        <v>8</v>
      </c>
      <c r="C98" s="153" t="s">
        <v>169</v>
      </c>
      <c r="D98" s="152">
        <v>8500</v>
      </c>
      <c r="E98" s="153" t="s">
        <v>168</v>
      </c>
      <c r="F98" s="154">
        <v>849.95</v>
      </c>
      <c r="G98" s="152">
        <v>28</v>
      </c>
      <c r="H98" s="155" t="s">
        <v>170</v>
      </c>
      <c r="I98" s="85">
        <f t="shared" si="2"/>
        <v>23798.600000000002</v>
      </c>
    </row>
    <row r="99" spans="1:9" x14ac:dyDescent="0.2">
      <c r="A99" s="152">
        <v>96</v>
      </c>
      <c r="B99" s="152">
        <v>8</v>
      </c>
      <c r="C99" s="153" t="s">
        <v>169</v>
      </c>
      <c r="D99" s="152">
        <v>8500</v>
      </c>
      <c r="E99" s="153" t="s">
        <v>168</v>
      </c>
      <c r="F99" s="154">
        <v>849.95</v>
      </c>
      <c r="G99" s="152">
        <v>30</v>
      </c>
      <c r="H99" s="155" t="s">
        <v>167</v>
      </c>
      <c r="I99" s="85">
        <f t="shared" si="2"/>
        <v>25498.5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baseColWidth="10" defaultRowHeight="16" x14ac:dyDescent="0.2"/>
  <cols>
    <col min="1" max="1" width="40.1640625" style="16" bestFit="1" customWidth="1"/>
    <col min="2" max="2" width="23.83203125" style="16" bestFit="1" customWidth="1"/>
    <col min="3" max="16384" width="10.83203125" style="16"/>
  </cols>
  <sheetData>
    <row r="1" spans="1:6" x14ac:dyDescent="0.2">
      <c r="A1" s="3" t="s">
        <v>219</v>
      </c>
      <c r="B1" s="4"/>
    </row>
    <row r="2" spans="1:6" x14ac:dyDescent="0.2">
      <c r="A2" s="4"/>
      <c r="B2" s="4"/>
    </row>
    <row r="3" spans="1:6" x14ac:dyDescent="0.2">
      <c r="A3" s="3" t="s">
        <v>190</v>
      </c>
      <c r="B3" s="76" t="s">
        <v>264</v>
      </c>
      <c r="C3" s="70"/>
      <c r="D3" s="70"/>
      <c r="E3" s="70"/>
      <c r="F3" s="161" t="s">
        <v>276</v>
      </c>
    </row>
    <row r="4" spans="1:6" x14ac:dyDescent="0.2">
      <c r="A4" s="4"/>
      <c r="B4" s="4"/>
    </row>
    <row r="5" spans="1:6" x14ac:dyDescent="0.2">
      <c r="A5" s="86" t="s">
        <v>220</v>
      </c>
      <c r="B5" s="87"/>
    </row>
    <row r="6" spans="1:6" x14ac:dyDescent="0.2">
      <c r="A6" s="88" t="s">
        <v>221</v>
      </c>
      <c r="B6" s="89">
        <v>50000</v>
      </c>
    </row>
    <row r="7" spans="1:6" x14ac:dyDescent="0.2">
      <c r="A7" s="88" t="s">
        <v>222</v>
      </c>
      <c r="B7" s="89">
        <v>125</v>
      </c>
    </row>
    <row r="8" spans="1:6" x14ac:dyDescent="0.2">
      <c r="A8" s="90"/>
      <c r="B8" s="91"/>
    </row>
    <row r="9" spans="1:6" x14ac:dyDescent="0.2">
      <c r="A9" s="92" t="s">
        <v>223</v>
      </c>
      <c r="B9" s="91"/>
    </row>
    <row r="10" spans="1:6" x14ac:dyDescent="0.2">
      <c r="A10" s="88" t="s">
        <v>224</v>
      </c>
      <c r="B10" s="89">
        <v>175</v>
      </c>
    </row>
    <row r="11" spans="1:6" x14ac:dyDescent="0.2">
      <c r="A11" s="90"/>
      <c r="B11" s="93"/>
    </row>
    <row r="12" spans="1:6" x14ac:dyDescent="0.2">
      <c r="A12" s="94" t="s">
        <v>225</v>
      </c>
      <c r="B12" s="95">
        <v>1500</v>
      </c>
    </row>
    <row r="13" spans="1:6" x14ac:dyDescent="0.2">
      <c r="A13" s="3"/>
      <c r="B13" s="4"/>
    </row>
    <row r="14" spans="1:6" x14ac:dyDescent="0.2">
      <c r="A14" s="3" t="s">
        <v>226</v>
      </c>
      <c r="B14" s="4"/>
    </row>
    <row r="15" spans="1:6" x14ac:dyDescent="0.2">
      <c r="A15" s="3"/>
      <c r="B15" s="4"/>
    </row>
    <row r="16" spans="1:6" x14ac:dyDescent="0.2">
      <c r="A16" s="46" t="s">
        <v>227</v>
      </c>
      <c r="B16" s="96">
        <f>Fixed_cost+Unit_variable_cost*Production_volume</f>
        <v>237500</v>
      </c>
    </row>
    <row r="17" spans="1:2" x14ac:dyDescent="0.2">
      <c r="A17" s="47" t="s">
        <v>228</v>
      </c>
      <c r="B17" s="97">
        <f>Production_volume*Unit_cost</f>
        <v>262500</v>
      </c>
    </row>
    <row r="18" spans="1:2" x14ac:dyDescent="0.2">
      <c r="A18" s="3"/>
      <c r="B18" s="18"/>
    </row>
    <row r="19" spans="1:2" x14ac:dyDescent="0.2">
      <c r="A19" s="5" t="s">
        <v>229</v>
      </c>
      <c r="B19" s="98">
        <f>Total_manufacturing_cost-Total_purchased_cost</f>
        <v>-25000</v>
      </c>
    </row>
    <row r="20" spans="1:2" x14ac:dyDescent="0.2">
      <c r="A20" s="5" t="s">
        <v>230</v>
      </c>
      <c r="B20" s="99" t="str">
        <f>IF(B19&lt;=0, "Manufacture", "Outsource")</f>
        <v>Manufacture</v>
      </c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/>
  </sheetViews>
  <sheetFormatPr baseColWidth="10" defaultRowHeight="16" x14ac:dyDescent="0.2"/>
  <cols>
    <col min="1" max="1" width="23.1640625" style="4" bestFit="1" customWidth="1"/>
    <col min="2" max="5" width="12.5" style="4" bestFit="1" customWidth="1"/>
    <col min="6" max="6" width="18" style="4" bestFit="1" customWidth="1"/>
    <col min="7" max="16384" width="10.83203125" style="4"/>
  </cols>
  <sheetData>
    <row r="1" spans="1:6" x14ac:dyDescent="0.2">
      <c r="A1" s="3" t="s">
        <v>231</v>
      </c>
    </row>
    <row r="3" spans="1:6" ht="17" thickBot="1" x14ac:dyDescent="0.25">
      <c r="A3" s="100" t="s">
        <v>232</v>
      </c>
      <c r="B3" s="100" t="s">
        <v>233</v>
      </c>
      <c r="C3" s="100" t="s">
        <v>234</v>
      </c>
      <c r="D3" s="100" t="s">
        <v>235</v>
      </c>
      <c r="E3" s="100" t="s">
        <v>236</v>
      </c>
      <c r="F3" s="100" t="s">
        <v>237</v>
      </c>
    </row>
    <row r="4" spans="1:6" x14ac:dyDescent="0.2">
      <c r="A4" s="3" t="s">
        <v>238</v>
      </c>
      <c r="B4" s="45">
        <v>0.3</v>
      </c>
      <c r="C4" s="45">
        <v>1.3</v>
      </c>
      <c r="D4" s="45">
        <v>0.75</v>
      </c>
      <c r="E4" s="101">
        <v>1.2</v>
      </c>
    </row>
    <row r="5" spans="1:6" x14ac:dyDescent="0.2">
      <c r="A5" s="102" t="s">
        <v>239</v>
      </c>
      <c r="B5" s="103">
        <v>1</v>
      </c>
      <c r="C5" s="103">
        <v>2.5</v>
      </c>
      <c r="D5" s="103">
        <v>1.5</v>
      </c>
      <c r="E5" s="104">
        <v>2</v>
      </c>
      <c r="F5" s="105">
        <v>280000</v>
      </c>
    </row>
    <row r="6" spans="1:6" x14ac:dyDescent="0.2">
      <c r="A6" s="106" t="s">
        <v>240</v>
      </c>
      <c r="B6" s="107">
        <v>0.3</v>
      </c>
      <c r="C6" s="107">
        <f>Gross_margin_unit_Rails/Minutes_unit_Rails</f>
        <v>0.52</v>
      </c>
      <c r="D6" s="107">
        <f>Gross_margin_unit_Rivets/Minutes_unit_Rivets</f>
        <v>0.5</v>
      </c>
      <c r="E6" s="108">
        <f>Gross_margin_unit_Clips/Minutes_unit_Clips</f>
        <v>0.6</v>
      </c>
    </row>
    <row r="7" spans="1:6" x14ac:dyDescent="0.2">
      <c r="A7" s="109" t="s">
        <v>241</v>
      </c>
      <c r="B7" s="110">
        <f>Machine_Capacity/Minutes_unit_Plugs</f>
        <v>280000</v>
      </c>
      <c r="C7" s="110">
        <f>Machine_Capacity/Minutes_unit_Rails</f>
        <v>112000</v>
      </c>
      <c r="D7" s="110">
        <f>Machine_Capacity/Minutes_unit_Rivets</f>
        <v>186666.66666666666</v>
      </c>
      <c r="E7" s="111">
        <f>Machine_Capacity/Minutes_unit_Clips</f>
        <v>140000</v>
      </c>
    </row>
    <row r="8" spans="1:6" x14ac:dyDescent="0.2">
      <c r="A8" s="112" t="s">
        <v>242</v>
      </c>
      <c r="B8" s="113">
        <f>Maximum_production_Plugs*Gross_margin_unit_Plugs</f>
        <v>84000</v>
      </c>
      <c r="C8" s="113">
        <f>Maximum_production_Rails*Gross_margin_unit_Rails</f>
        <v>145600</v>
      </c>
      <c r="D8" s="113">
        <f>Maximum_production_Rivets*Gross_margin_unit_Rivets</f>
        <v>140000</v>
      </c>
      <c r="E8" s="114">
        <f>Maximum_production_Clips*Gross_margin_unit_Clips</f>
        <v>168000</v>
      </c>
    </row>
    <row r="11" spans="1:6" x14ac:dyDescent="0.2">
      <c r="B11" s="76" t="s">
        <v>265</v>
      </c>
      <c r="C11" s="76"/>
      <c r="D11" s="76"/>
      <c r="E11" s="76"/>
      <c r="F11" s="76"/>
    </row>
    <row r="12" spans="1:6" x14ac:dyDescent="0.2">
      <c r="B12" s="76" t="s">
        <v>266</v>
      </c>
      <c r="C12" s="76"/>
      <c r="D12" s="76"/>
      <c r="E12" s="76"/>
      <c r="F12" s="76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/>
  </sheetViews>
  <sheetFormatPr baseColWidth="10" defaultRowHeight="16" x14ac:dyDescent="0.2"/>
  <cols>
    <col min="1" max="1" width="25.33203125" style="16" bestFit="1" customWidth="1"/>
    <col min="2" max="16384" width="10.83203125" style="16"/>
  </cols>
  <sheetData>
    <row r="1" spans="1:3" x14ac:dyDescent="0.2">
      <c r="A1" s="2" t="s">
        <v>243</v>
      </c>
    </row>
    <row r="2" spans="1:3" x14ac:dyDescent="0.2">
      <c r="C2" s="4" t="s">
        <v>265</v>
      </c>
    </row>
    <row r="3" spans="1:3" x14ac:dyDescent="0.2">
      <c r="A3" s="2" t="s">
        <v>190</v>
      </c>
      <c r="C3" s="4" t="s">
        <v>266</v>
      </c>
    </row>
    <row r="5" spans="1:3" x14ac:dyDescent="0.2">
      <c r="A5" s="115" t="s">
        <v>244</v>
      </c>
      <c r="B5" s="116">
        <v>300</v>
      </c>
    </row>
    <row r="6" spans="1:3" x14ac:dyDescent="0.2">
      <c r="A6" s="117" t="s">
        <v>110</v>
      </c>
      <c r="B6" s="118">
        <v>120</v>
      </c>
    </row>
    <row r="7" spans="1:3" x14ac:dyDescent="0.2">
      <c r="A7" s="119" t="s">
        <v>245</v>
      </c>
      <c r="B7" s="120">
        <v>100</v>
      </c>
    </row>
    <row r="8" spans="1:3" x14ac:dyDescent="0.2">
      <c r="A8" s="2"/>
      <c r="B8" s="121"/>
    </row>
    <row r="9" spans="1:3" x14ac:dyDescent="0.2">
      <c r="A9" s="2" t="s">
        <v>226</v>
      </c>
    </row>
    <row r="10" spans="1:3" x14ac:dyDescent="0.2">
      <c r="A10" s="2"/>
    </row>
    <row r="11" spans="1:3" x14ac:dyDescent="0.2">
      <c r="A11" s="122" t="s">
        <v>246</v>
      </c>
      <c r="B11" s="123">
        <v>310</v>
      </c>
    </row>
    <row r="12" spans="1:3" x14ac:dyDescent="0.2">
      <c r="A12" s="124" t="s">
        <v>247</v>
      </c>
      <c r="B12" s="125">
        <v>312</v>
      </c>
    </row>
    <row r="13" spans="1:3" x14ac:dyDescent="0.2">
      <c r="A13" s="124" t="s">
        <v>248</v>
      </c>
      <c r="B13" s="125">
        <f>MIN(Reservation_limit,Customer_demand)</f>
        <v>310</v>
      </c>
    </row>
    <row r="14" spans="1:3" x14ac:dyDescent="0.2">
      <c r="A14" s="124" t="s">
        <v>249</v>
      </c>
      <c r="B14" s="125">
        <v>6</v>
      </c>
    </row>
    <row r="15" spans="1:3" x14ac:dyDescent="0.2">
      <c r="A15" s="126" t="s">
        <v>250</v>
      </c>
      <c r="B15" s="127">
        <f>Reservations_made-Cancellations</f>
        <v>304</v>
      </c>
    </row>
    <row r="17" spans="1:2" x14ac:dyDescent="0.2">
      <c r="A17" s="128" t="s">
        <v>251</v>
      </c>
      <c r="B17" s="129">
        <f>MAX(0,Customer_arrivals-Rooms_available)</f>
        <v>4</v>
      </c>
    </row>
    <row r="18" spans="1:2" x14ac:dyDescent="0.2">
      <c r="A18" s="130" t="s">
        <v>252</v>
      </c>
      <c r="B18" s="131">
        <f>MIN(Customer_arrivals,Rooms_available)*Price-Overbooked_customers*Overbooking_cost</f>
        <v>35600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3203125" defaultRowHeight="16" x14ac:dyDescent="0.2"/>
  <cols>
    <col min="1" max="16384" width="8.83203125" style="4"/>
  </cols>
  <sheetData>
    <row r="1" spans="1:1" x14ac:dyDescent="0.2">
      <c r="A1" s="3" t="s">
        <v>51</v>
      </c>
    </row>
    <row r="3" spans="1:1" x14ac:dyDescent="0.2">
      <c r="A3" s="4" t="s">
        <v>40</v>
      </c>
    </row>
    <row r="4" spans="1:1" x14ac:dyDescent="0.2">
      <c r="A4" s="4" t="s">
        <v>41</v>
      </c>
    </row>
    <row r="5" spans="1:1" x14ac:dyDescent="0.2">
      <c r="A5" s="4" t="s">
        <v>268</v>
      </c>
    </row>
    <row r="6" spans="1:1" x14ac:dyDescent="0.2">
      <c r="A6" s="4" t="s">
        <v>74</v>
      </c>
    </row>
    <row r="7" spans="1:1" x14ac:dyDescent="0.2">
      <c r="A7" s="4" t="s">
        <v>75</v>
      </c>
    </row>
    <row r="9" spans="1:1" x14ac:dyDescent="0.2">
      <c r="A9" s="4" t="s">
        <v>269</v>
      </c>
    </row>
    <row r="10" spans="1:1" x14ac:dyDescent="0.2">
      <c r="A10" s="4" t="s">
        <v>42</v>
      </c>
    </row>
  </sheetData>
  <customSheetViews>
    <customSheetView guid="{AF9B499A-CFA5-4E76-B3DA-A02CB2931756}">
      <selection activeCell="F19" sqref="F19"/>
      <pageMargins left="0.7" right="0.7" top="0.75" bottom="0.75" header="0.3" footer="0.3"/>
    </customSheetView>
    <customSheetView guid="{84AD1FC9-1D54-4CF5-8568-C97DE11A5CD2}" scale="120">
      <selection activeCell="F7" sqref="F7"/>
      <pageMargins left="0.7" right="0.7" top="0.75" bottom="0.75" header="0.3" footer="0.3"/>
    </customSheetView>
    <customSheetView guid="{2FF1250F-24F0-45EB-B0FF-E663C210EB95}" scale="120">
      <pageMargins left="0.7" right="0.7" top="0.75" bottom="0.75" header="0.3" footer="0.3"/>
    </customSheetView>
    <customSheetView guid="{56AF3BB6-958F-BF40-8163-F038875C20D8}" scale="120">
      <pageMargins left="0.7" right="0.7" top="0.75" bottom="0.75" header="0.3" footer="0.3"/>
    </customSheetView>
    <customSheetView guid="{7ED021FD-8147-EA42-B54F-8D7F27448679}" scale="120">
      <selection activeCell="F7" sqref="F7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/>
  </sheetViews>
  <sheetFormatPr baseColWidth="10" defaultRowHeight="16" x14ac:dyDescent="0.2"/>
  <cols>
    <col min="1" max="16384" width="10.83203125" style="4"/>
  </cols>
  <sheetData>
    <row r="1" spans="1:1" x14ac:dyDescent="0.2">
      <c r="A1" s="3" t="s">
        <v>68</v>
      </c>
    </row>
    <row r="3" spans="1:1" x14ac:dyDescent="0.2">
      <c r="A3" s="1" t="s">
        <v>60</v>
      </c>
    </row>
    <row r="4" spans="1:1" x14ac:dyDescent="0.2">
      <c r="A4" s="4" t="s">
        <v>69</v>
      </c>
    </row>
    <row r="5" spans="1:1" x14ac:dyDescent="0.2">
      <c r="A5" s="1" t="s">
        <v>61</v>
      </c>
    </row>
    <row r="6" spans="1:1" x14ac:dyDescent="0.2">
      <c r="A6" s="4" t="s">
        <v>70</v>
      </c>
    </row>
    <row r="7" spans="1:1" x14ac:dyDescent="0.2">
      <c r="A7" s="1" t="s">
        <v>62</v>
      </c>
    </row>
    <row r="8" spans="1:1" x14ac:dyDescent="0.2">
      <c r="A8" s="4" t="s">
        <v>71</v>
      </c>
    </row>
    <row r="9" spans="1:1" x14ac:dyDescent="0.2">
      <c r="A9" s="1" t="s">
        <v>63</v>
      </c>
    </row>
    <row r="10" spans="1:1" x14ac:dyDescent="0.2">
      <c r="A10" s="4" t="s">
        <v>71</v>
      </c>
    </row>
    <row r="11" spans="1:1" x14ac:dyDescent="0.2">
      <c r="A11" s="1" t="s">
        <v>64</v>
      </c>
    </row>
    <row r="12" spans="1:1" x14ac:dyDescent="0.2">
      <c r="A12" s="4" t="s">
        <v>70</v>
      </c>
    </row>
    <row r="13" spans="1:1" x14ac:dyDescent="0.2">
      <c r="A13" s="1" t="s">
        <v>65</v>
      </c>
    </row>
    <row r="14" spans="1:1" x14ac:dyDescent="0.2">
      <c r="A14" s="4" t="s">
        <v>71</v>
      </c>
    </row>
    <row r="15" spans="1:1" x14ac:dyDescent="0.2">
      <c r="A15" s="1" t="s">
        <v>66</v>
      </c>
    </row>
    <row r="16" spans="1:1" x14ac:dyDescent="0.2">
      <c r="A16" s="4" t="s">
        <v>69</v>
      </c>
    </row>
    <row r="17" spans="1:2" x14ac:dyDescent="0.2">
      <c r="A17" s="1" t="s">
        <v>67</v>
      </c>
    </row>
    <row r="18" spans="1:2" x14ac:dyDescent="0.2">
      <c r="A18" s="4" t="s">
        <v>71</v>
      </c>
      <c r="B18" s="4" t="s">
        <v>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/>
  </sheetViews>
  <sheetFormatPr baseColWidth="10" defaultColWidth="8.83203125" defaultRowHeight="16" x14ac:dyDescent="0.2"/>
  <cols>
    <col min="1" max="1" width="18.33203125" style="4" bestFit="1" customWidth="1"/>
    <col min="2" max="2" width="12.6640625" style="4" customWidth="1"/>
    <col min="3" max="3" width="8.83203125" style="4"/>
    <col min="4" max="4" width="12.5" style="4" bestFit="1" customWidth="1"/>
    <col min="5" max="5" width="13.83203125" style="4" bestFit="1" customWidth="1"/>
    <col min="6" max="6" width="9" style="4" bestFit="1" customWidth="1"/>
    <col min="7" max="7" width="10.5" style="4" bestFit="1" customWidth="1"/>
    <col min="8" max="16384" width="8.83203125" style="4"/>
  </cols>
  <sheetData>
    <row r="1" spans="1:7" x14ac:dyDescent="0.2">
      <c r="A1" s="3" t="s">
        <v>258</v>
      </c>
    </row>
    <row r="3" spans="1:7" x14ac:dyDescent="0.2">
      <c r="A3" s="156" t="s">
        <v>111</v>
      </c>
      <c r="B3" s="156"/>
      <c r="C3" s="156"/>
      <c r="E3" s="156" t="s">
        <v>112</v>
      </c>
      <c r="F3" s="156"/>
      <c r="G3" s="156"/>
    </row>
    <row r="4" spans="1:7" x14ac:dyDescent="0.2">
      <c r="A4" s="5" t="s">
        <v>113</v>
      </c>
      <c r="B4" s="134">
        <v>10</v>
      </c>
      <c r="C4" s="4" t="s">
        <v>114</v>
      </c>
      <c r="E4" s="5" t="s">
        <v>113</v>
      </c>
      <c r="F4" s="134">
        <v>12</v>
      </c>
      <c r="G4" s="4" t="s">
        <v>114</v>
      </c>
    </row>
    <row r="5" spans="1:7" x14ac:dyDescent="0.2">
      <c r="A5" s="5" t="s">
        <v>115</v>
      </c>
      <c r="B5" s="134">
        <v>5000</v>
      </c>
      <c r="E5" s="5" t="s">
        <v>115</v>
      </c>
      <c r="F5" s="134">
        <v>0</v>
      </c>
    </row>
    <row r="8" spans="1:7" x14ac:dyDescent="0.2">
      <c r="B8" s="3"/>
      <c r="C8" s="3" t="s">
        <v>119</v>
      </c>
      <c r="D8" s="32">
        <v>1200</v>
      </c>
      <c r="E8" s="4" t="s">
        <v>116</v>
      </c>
    </row>
    <row r="9" spans="1:7" x14ac:dyDescent="0.2">
      <c r="A9" s="10"/>
      <c r="B9" s="3"/>
      <c r="C9" s="5" t="s">
        <v>117</v>
      </c>
      <c r="D9" s="135">
        <f>B5+D8*B4</f>
        <v>17000</v>
      </c>
    </row>
    <row r="10" spans="1:7" x14ac:dyDescent="0.2">
      <c r="A10" s="10"/>
      <c r="B10" s="3"/>
      <c r="C10" s="5" t="s">
        <v>118</v>
      </c>
      <c r="D10" s="135">
        <f>F5+D8*F4</f>
        <v>14400</v>
      </c>
      <c r="E10" s="76" t="s">
        <v>259</v>
      </c>
    </row>
    <row r="11" spans="1:7" x14ac:dyDescent="0.2">
      <c r="A11" s="10"/>
    </row>
  </sheetData>
  <mergeCells count="2">
    <mergeCell ref="A3:C3"/>
    <mergeCell ref="E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/>
  </sheetViews>
  <sheetFormatPr baseColWidth="10" defaultColWidth="10.83203125" defaultRowHeight="16" x14ac:dyDescent="0.2"/>
  <cols>
    <col min="1" max="1" width="14.6640625" style="4" customWidth="1"/>
    <col min="2" max="2" width="8.6640625" style="4" bestFit="1" customWidth="1"/>
    <col min="3" max="3" width="12.83203125" style="4" bestFit="1" customWidth="1"/>
    <col min="4" max="4" width="9.6640625" style="4" bestFit="1" customWidth="1"/>
    <col min="5" max="7" width="7.6640625" style="4" bestFit="1" customWidth="1"/>
    <col min="8" max="8" width="14.5" style="4" bestFit="1" customWidth="1"/>
    <col min="9" max="9" width="22.83203125" style="4" bestFit="1" customWidth="1"/>
    <col min="10" max="10" width="10.5" style="4" bestFit="1" customWidth="1"/>
    <col min="11" max="11" width="19.33203125" style="4" customWidth="1"/>
    <col min="12" max="12" width="10.83203125" style="4" bestFit="1" customWidth="1"/>
    <col min="13" max="13" width="20" style="4" bestFit="1" customWidth="1"/>
    <col min="14" max="14" width="10.83203125" style="4" bestFit="1" customWidth="1"/>
    <col min="15" max="16384" width="10.83203125" style="4"/>
  </cols>
  <sheetData>
    <row r="1" spans="1:14" x14ac:dyDescent="0.2">
      <c r="A1" s="3" t="s">
        <v>96</v>
      </c>
      <c r="H1" s="17"/>
    </row>
    <row r="2" spans="1:14" x14ac:dyDescent="0.2">
      <c r="A2" s="3"/>
      <c r="H2" s="17"/>
    </row>
    <row r="3" spans="1:14" x14ac:dyDescent="0.2">
      <c r="A3" s="3" t="s">
        <v>77</v>
      </c>
      <c r="H3" s="17"/>
    </row>
    <row r="4" spans="1:14" x14ac:dyDescent="0.2">
      <c r="A4" s="3" t="s">
        <v>270</v>
      </c>
    </row>
    <row r="5" spans="1:14" x14ac:dyDescent="0.2">
      <c r="A5" s="3"/>
    </row>
    <row r="6" spans="1:14" x14ac:dyDescent="0.2">
      <c r="A6" s="37"/>
      <c r="B6" s="37"/>
      <c r="C6" s="37"/>
      <c r="D6" s="37"/>
      <c r="E6" s="157" t="s">
        <v>97</v>
      </c>
      <c r="F6" s="157"/>
      <c r="G6" s="157"/>
    </row>
    <row r="7" spans="1:14" x14ac:dyDescent="0.2">
      <c r="A7" s="37" t="s">
        <v>98</v>
      </c>
      <c r="B7" s="37" t="s">
        <v>99</v>
      </c>
      <c r="C7" s="37" t="s">
        <v>100</v>
      </c>
      <c r="D7" s="37" t="s">
        <v>101</v>
      </c>
      <c r="E7" s="37" t="s">
        <v>102</v>
      </c>
      <c r="F7" s="37" t="s">
        <v>103</v>
      </c>
      <c r="G7" s="37" t="s">
        <v>104</v>
      </c>
      <c r="H7" s="37" t="s">
        <v>106</v>
      </c>
      <c r="I7" s="37" t="s">
        <v>107</v>
      </c>
      <c r="J7" s="37" t="s">
        <v>105</v>
      </c>
      <c r="K7" s="3" t="s">
        <v>109</v>
      </c>
      <c r="L7" s="3" t="s">
        <v>105</v>
      </c>
      <c r="M7" s="3" t="s">
        <v>108</v>
      </c>
      <c r="N7" s="3" t="s">
        <v>105</v>
      </c>
    </row>
    <row r="8" spans="1:14" x14ac:dyDescent="0.2">
      <c r="A8" s="6">
        <v>1</v>
      </c>
      <c r="B8" s="38">
        <v>6.99</v>
      </c>
      <c r="C8" s="6">
        <v>0</v>
      </c>
      <c r="D8" s="38">
        <v>0</v>
      </c>
      <c r="E8" s="39">
        <v>501</v>
      </c>
      <c r="F8" s="39">
        <v>510</v>
      </c>
      <c r="G8" s="39">
        <v>481</v>
      </c>
      <c r="H8" s="40">
        <f>SUM(E8:G8)</f>
        <v>1492</v>
      </c>
      <c r="I8" s="9">
        <f>1105.55+56.18*$B8+123.88*$C8+5.24*$D8</f>
        <v>1498.2482</v>
      </c>
      <c r="J8" s="41">
        <f>I8-H8</f>
        <v>6.2481999999999971</v>
      </c>
      <c r="K8" s="42">
        <f>1105.55+56.18*$B8+5.24*$D8</f>
        <v>1498.2482</v>
      </c>
      <c r="L8" s="42">
        <f>K8-H8</f>
        <v>6.2481999999999971</v>
      </c>
      <c r="M8" s="43">
        <f>1105.55+56.18*$B8+123.88*$C8</f>
        <v>1498.2482</v>
      </c>
      <c r="N8" s="43">
        <f>M8-H8</f>
        <v>6.2481999999999971</v>
      </c>
    </row>
    <row r="9" spans="1:14" x14ac:dyDescent="0.2">
      <c r="A9" s="6">
        <v>2</v>
      </c>
      <c r="B9" s="38">
        <v>6.99</v>
      </c>
      <c r="C9" s="6">
        <v>0</v>
      </c>
      <c r="D9" s="38">
        <v>150</v>
      </c>
      <c r="E9" s="39">
        <v>772</v>
      </c>
      <c r="F9" s="39">
        <v>748</v>
      </c>
      <c r="G9" s="39">
        <v>775</v>
      </c>
      <c r="H9" s="40">
        <f t="shared" ref="H9:H23" si="0">SUM(E9:G9)</f>
        <v>2295</v>
      </c>
      <c r="I9" s="9">
        <f t="shared" ref="I9:I23" si="1">1105.55+56.18*$B9+123.88*$C9+5.24*$D9</f>
        <v>2284.2482</v>
      </c>
      <c r="J9" s="41">
        <f t="shared" ref="J9:J23" si="2">I9-H9</f>
        <v>-10.751800000000003</v>
      </c>
      <c r="K9" s="42">
        <f t="shared" ref="K9:K23" si="3">1105.55+56.18*$B9+5.24*$D9</f>
        <v>2284.2482</v>
      </c>
      <c r="L9" s="42">
        <f t="shared" ref="L9:L23" si="4">K9-H9</f>
        <v>-10.751800000000003</v>
      </c>
      <c r="M9" s="43">
        <f t="shared" ref="M9:M23" si="5">1105.55+56.18*$B9+123.88*$C9</f>
        <v>1498.2482</v>
      </c>
      <c r="N9" s="43">
        <f t="shared" ref="N9:N23" si="6">M9-H9</f>
        <v>-796.7518</v>
      </c>
    </row>
    <row r="10" spans="1:14" x14ac:dyDescent="0.2">
      <c r="A10" s="6">
        <v>3</v>
      </c>
      <c r="B10" s="38">
        <v>6.99</v>
      </c>
      <c r="C10" s="6">
        <v>1</v>
      </c>
      <c r="D10" s="38">
        <v>0</v>
      </c>
      <c r="E10" s="39">
        <v>554</v>
      </c>
      <c r="F10" s="39">
        <v>528</v>
      </c>
      <c r="G10" s="39">
        <v>506</v>
      </c>
      <c r="H10" s="40">
        <f t="shared" si="0"/>
        <v>1588</v>
      </c>
      <c r="I10" s="9">
        <f t="shared" si="1"/>
        <v>1622.1282000000001</v>
      </c>
      <c r="J10" s="41">
        <f t="shared" si="2"/>
        <v>34.128200000000106</v>
      </c>
      <c r="K10" s="42">
        <f t="shared" si="3"/>
        <v>1498.2482</v>
      </c>
      <c r="L10" s="42">
        <f t="shared" si="4"/>
        <v>-89.751800000000003</v>
      </c>
      <c r="M10" s="43">
        <f t="shared" si="5"/>
        <v>1622.1282000000001</v>
      </c>
      <c r="N10" s="43">
        <f t="shared" si="6"/>
        <v>34.128200000000106</v>
      </c>
    </row>
    <row r="11" spans="1:14" x14ac:dyDescent="0.2">
      <c r="A11" s="6">
        <v>4</v>
      </c>
      <c r="B11" s="38">
        <v>6.99</v>
      </c>
      <c r="C11" s="6">
        <v>1</v>
      </c>
      <c r="D11" s="38">
        <v>150</v>
      </c>
      <c r="E11" s="39">
        <v>838</v>
      </c>
      <c r="F11" s="39">
        <v>785</v>
      </c>
      <c r="G11" s="39">
        <v>834</v>
      </c>
      <c r="H11" s="40">
        <f t="shared" si="0"/>
        <v>2457</v>
      </c>
      <c r="I11" s="9">
        <f t="shared" si="1"/>
        <v>2408.1282000000001</v>
      </c>
      <c r="J11" s="41">
        <f t="shared" si="2"/>
        <v>-48.871799999999894</v>
      </c>
      <c r="K11" s="42">
        <f t="shared" si="3"/>
        <v>2284.2482</v>
      </c>
      <c r="L11" s="42">
        <f t="shared" si="4"/>
        <v>-172.7518</v>
      </c>
      <c r="M11" s="43">
        <f t="shared" si="5"/>
        <v>1622.1282000000001</v>
      </c>
      <c r="N11" s="43">
        <f t="shared" si="6"/>
        <v>-834.87179999999989</v>
      </c>
    </row>
    <row r="12" spans="1:14" x14ac:dyDescent="0.2">
      <c r="A12" s="6">
        <v>5</v>
      </c>
      <c r="B12" s="38">
        <v>6.49</v>
      </c>
      <c r="C12" s="6">
        <v>0</v>
      </c>
      <c r="D12" s="38">
        <v>0</v>
      </c>
      <c r="E12" s="39">
        <v>521</v>
      </c>
      <c r="F12" s="39">
        <v>519</v>
      </c>
      <c r="G12" s="39">
        <v>500</v>
      </c>
      <c r="H12" s="40">
        <f t="shared" si="0"/>
        <v>1540</v>
      </c>
      <c r="I12" s="9">
        <f t="shared" si="1"/>
        <v>1470.1581999999999</v>
      </c>
      <c r="J12" s="41">
        <f t="shared" si="2"/>
        <v>-69.841800000000148</v>
      </c>
      <c r="K12" s="42">
        <f t="shared" si="3"/>
        <v>1470.1581999999999</v>
      </c>
      <c r="L12" s="42">
        <f t="shared" si="4"/>
        <v>-69.841800000000148</v>
      </c>
      <c r="M12" s="43">
        <f t="shared" si="5"/>
        <v>1470.1581999999999</v>
      </c>
      <c r="N12" s="43">
        <f t="shared" si="6"/>
        <v>-69.841800000000148</v>
      </c>
    </row>
    <row r="13" spans="1:14" x14ac:dyDescent="0.2">
      <c r="A13" s="6">
        <v>6</v>
      </c>
      <c r="B13" s="38">
        <v>6.49</v>
      </c>
      <c r="C13" s="6">
        <v>0</v>
      </c>
      <c r="D13" s="38">
        <v>150</v>
      </c>
      <c r="E13" s="39">
        <v>723</v>
      </c>
      <c r="F13" s="39">
        <v>790</v>
      </c>
      <c r="G13" s="39">
        <v>723</v>
      </c>
      <c r="H13" s="40">
        <f t="shared" si="0"/>
        <v>2236</v>
      </c>
      <c r="I13" s="9">
        <f t="shared" si="1"/>
        <v>2256.1581999999999</v>
      </c>
      <c r="J13" s="41">
        <f t="shared" si="2"/>
        <v>20.158199999999852</v>
      </c>
      <c r="K13" s="42">
        <f t="shared" si="3"/>
        <v>2256.1581999999999</v>
      </c>
      <c r="L13" s="42">
        <f t="shared" si="4"/>
        <v>20.158199999999852</v>
      </c>
      <c r="M13" s="43">
        <f t="shared" si="5"/>
        <v>1470.1581999999999</v>
      </c>
      <c r="N13" s="43">
        <f t="shared" si="6"/>
        <v>-765.84180000000015</v>
      </c>
    </row>
    <row r="14" spans="1:14" x14ac:dyDescent="0.2">
      <c r="A14" s="6">
        <v>7</v>
      </c>
      <c r="B14" s="38">
        <v>6.49</v>
      </c>
      <c r="C14" s="6">
        <v>1</v>
      </c>
      <c r="D14" s="38">
        <v>0</v>
      </c>
      <c r="E14" s="39">
        <v>510</v>
      </c>
      <c r="F14" s="39">
        <v>556</v>
      </c>
      <c r="G14" s="39">
        <v>520</v>
      </c>
      <c r="H14" s="40">
        <f t="shared" si="0"/>
        <v>1586</v>
      </c>
      <c r="I14" s="9">
        <f t="shared" si="1"/>
        <v>1594.0382</v>
      </c>
      <c r="J14" s="41">
        <f t="shared" si="2"/>
        <v>8.0381999999999607</v>
      </c>
      <c r="K14" s="42">
        <f t="shared" si="3"/>
        <v>1470.1581999999999</v>
      </c>
      <c r="L14" s="42">
        <f t="shared" si="4"/>
        <v>-115.84180000000015</v>
      </c>
      <c r="M14" s="43">
        <f t="shared" si="5"/>
        <v>1594.0382</v>
      </c>
      <c r="N14" s="43">
        <f t="shared" si="6"/>
        <v>8.0381999999999607</v>
      </c>
    </row>
    <row r="15" spans="1:14" x14ac:dyDescent="0.2">
      <c r="A15" s="6">
        <v>8</v>
      </c>
      <c r="B15" s="38">
        <v>6.49</v>
      </c>
      <c r="C15" s="6">
        <v>1</v>
      </c>
      <c r="D15" s="38">
        <v>150</v>
      </c>
      <c r="E15" s="39">
        <v>818</v>
      </c>
      <c r="F15" s="39">
        <v>773</v>
      </c>
      <c r="G15" s="39">
        <v>800</v>
      </c>
      <c r="H15" s="40">
        <f t="shared" si="0"/>
        <v>2391</v>
      </c>
      <c r="I15" s="9">
        <f t="shared" si="1"/>
        <v>2380.0382</v>
      </c>
      <c r="J15" s="41">
        <f t="shared" si="2"/>
        <v>-10.961800000000039</v>
      </c>
      <c r="K15" s="42">
        <f t="shared" si="3"/>
        <v>2256.1581999999999</v>
      </c>
      <c r="L15" s="42">
        <f t="shared" si="4"/>
        <v>-134.84180000000015</v>
      </c>
      <c r="M15" s="43">
        <f t="shared" si="5"/>
        <v>1594.0382</v>
      </c>
      <c r="N15" s="43">
        <f t="shared" si="6"/>
        <v>-796.96180000000004</v>
      </c>
    </row>
    <row r="16" spans="1:14" x14ac:dyDescent="0.2">
      <c r="A16" s="6">
        <v>9</v>
      </c>
      <c r="B16" s="38">
        <v>7.59</v>
      </c>
      <c r="C16" s="6">
        <v>0</v>
      </c>
      <c r="D16" s="38">
        <v>0</v>
      </c>
      <c r="E16" s="39">
        <v>479</v>
      </c>
      <c r="F16" s="39">
        <v>491</v>
      </c>
      <c r="G16" s="39">
        <v>486</v>
      </c>
      <c r="H16" s="40">
        <f t="shared" si="0"/>
        <v>1456</v>
      </c>
      <c r="I16" s="9">
        <f t="shared" si="1"/>
        <v>1531.9562000000001</v>
      </c>
      <c r="J16" s="41">
        <f t="shared" si="2"/>
        <v>75.956200000000081</v>
      </c>
      <c r="K16" s="42">
        <f t="shared" si="3"/>
        <v>1531.9562000000001</v>
      </c>
      <c r="L16" s="42">
        <f t="shared" si="4"/>
        <v>75.956200000000081</v>
      </c>
      <c r="M16" s="43">
        <f t="shared" si="5"/>
        <v>1531.9562000000001</v>
      </c>
      <c r="N16" s="43">
        <f t="shared" si="6"/>
        <v>75.956200000000081</v>
      </c>
    </row>
    <row r="17" spans="1:15" x14ac:dyDescent="0.2">
      <c r="A17" s="6">
        <v>10</v>
      </c>
      <c r="B17" s="38">
        <v>7.59</v>
      </c>
      <c r="C17" s="6">
        <v>0</v>
      </c>
      <c r="D17" s="38">
        <v>150</v>
      </c>
      <c r="E17" s="39">
        <v>825</v>
      </c>
      <c r="F17" s="39">
        <v>822</v>
      </c>
      <c r="G17" s="39">
        <v>757</v>
      </c>
      <c r="H17" s="40">
        <f t="shared" si="0"/>
        <v>2404</v>
      </c>
      <c r="I17" s="9">
        <f t="shared" si="1"/>
        <v>2317.9562000000001</v>
      </c>
      <c r="J17" s="41">
        <f t="shared" si="2"/>
        <v>-86.043799999999919</v>
      </c>
      <c r="K17" s="42">
        <f t="shared" si="3"/>
        <v>2317.9562000000001</v>
      </c>
      <c r="L17" s="42">
        <f t="shared" si="4"/>
        <v>-86.043799999999919</v>
      </c>
      <c r="M17" s="43">
        <f t="shared" si="5"/>
        <v>1531.9562000000001</v>
      </c>
      <c r="N17" s="43">
        <f t="shared" si="6"/>
        <v>-872.04379999999992</v>
      </c>
    </row>
    <row r="18" spans="1:15" x14ac:dyDescent="0.2">
      <c r="A18" s="6">
        <v>11</v>
      </c>
      <c r="B18" s="38">
        <v>7.59</v>
      </c>
      <c r="C18" s="6">
        <v>1</v>
      </c>
      <c r="D18" s="38">
        <v>0</v>
      </c>
      <c r="E18" s="39">
        <v>533</v>
      </c>
      <c r="F18" s="39">
        <v>513</v>
      </c>
      <c r="G18" s="39">
        <v>540</v>
      </c>
      <c r="H18" s="40">
        <f t="shared" si="0"/>
        <v>1586</v>
      </c>
      <c r="I18" s="9">
        <f t="shared" si="1"/>
        <v>1655.8362000000002</v>
      </c>
      <c r="J18" s="41">
        <f t="shared" si="2"/>
        <v>69.83620000000019</v>
      </c>
      <c r="K18" s="42">
        <f t="shared" si="3"/>
        <v>1531.9562000000001</v>
      </c>
      <c r="L18" s="42">
        <f t="shared" si="4"/>
        <v>-54.043799999999919</v>
      </c>
      <c r="M18" s="43">
        <f t="shared" si="5"/>
        <v>1655.8362000000002</v>
      </c>
      <c r="N18" s="43">
        <f t="shared" si="6"/>
        <v>69.83620000000019</v>
      </c>
    </row>
    <row r="19" spans="1:15" x14ac:dyDescent="0.2">
      <c r="A19" s="6">
        <v>12</v>
      </c>
      <c r="B19" s="38">
        <v>7.59</v>
      </c>
      <c r="C19" s="6">
        <v>1</v>
      </c>
      <c r="D19" s="38">
        <v>150</v>
      </c>
      <c r="E19" s="39">
        <v>839</v>
      </c>
      <c r="F19" s="39">
        <v>791</v>
      </c>
      <c r="G19" s="39">
        <v>832</v>
      </c>
      <c r="H19" s="40">
        <f t="shared" si="0"/>
        <v>2462</v>
      </c>
      <c r="I19" s="9">
        <f t="shared" si="1"/>
        <v>2441.8362000000002</v>
      </c>
      <c r="J19" s="41">
        <f t="shared" si="2"/>
        <v>-20.16379999999981</v>
      </c>
      <c r="K19" s="42">
        <f t="shared" si="3"/>
        <v>2317.9562000000001</v>
      </c>
      <c r="L19" s="42">
        <f t="shared" si="4"/>
        <v>-144.04379999999992</v>
      </c>
      <c r="M19" s="43">
        <f t="shared" si="5"/>
        <v>1655.8362000000002</v>
      </c>
      <c r="N19" s="43">
        <f t="shared" si="6"/>
        <v>-806.16379999999981</v>
      </c>
    </row>
    <row r="20" spans="1:15" x14ac:dyDescent="0.2">
      <c r="A20" s="6">
        <v>13</v>
      </c>
      <c r="B20" s="38">
        <v>5.49</v>
      </c>
      <c r="C20" s="6">
        <v>0</v>
      </c>
      <c r="D20" s="38">
        <v>0</v>
      </c>
      <c r="E20" s="39">
        <v>484</v>
      </c>
      <c r="F20" s="39">
        <v>480</v>
      </c>
      <c r="G20" s="39">
        <v>508</v>
      </c>
      <c r="H20" s="40">
        <f t="shared" si="0"/>
        <v>1472</v>
      </c>
      <c r="I20" s="9">
        <f t="shared" si="1"/>
        <v>1413.9782</v>
      </c>
      <c r="J20" s="41">
        <f t="shared" si="2"/>
        <v>-58.021799999999985</v>
      </c>
      <c r="K20" s="42">
        <f t="shared" si="3"/>
        <v>1413.9782</v>
      </c>
      <c r="L20" s="42">
        <f t="shared" si="4"/>
        <v>-58.021799999999985</v>
      </c>
      <c r="M20" s="43">
        <f t="shared" si="5"/>
        <v>1413.9782</v>
      </c>
      <c r="N20" s="43">
        <f t="shared" si="6"/>
        <v>-58.021799999999985</v>
      </c>
    </row>
    <row r="21" spans="1:15" x14ac:dyDescent="0.2">
      <c r="A21" s="6">
        <v>14</v>
      </c>
      <c r="B21" s="38">
        <v>5.49</v>
      </c>
      <c r="C21" s="6">
        <v>0</v>
      </c>
      <c r="D21" s="38">
        <v>150</v>
      </c>
      <c r="E21" s="39">
        <v>686</v>
      </c>
      <c r="F21" s="39">
        <v>683</v>
      </c>
      <c r="G21" s="39">
        <v>708</v>
      </c>
      <c r="H21" s="40">
        <f t="shared" si="0"/>
        <v>2077</v>
      </c>
      <c r="I21" s="9">
        <f t="shared" si="1"/>
        <v>2199.9782</v>
      </c>
      <c r="J21" s="41">
        <f t="shared" si="2"/>
        <v>122.97820000000002</v>
      </c>
      <c r="K21" s="42">
        <f t="shared" si="3"/>
        <v>2199.9782</v>
      </c>
      <c r="L21" s="42">
        <f t="shared" si="4"/>
        <v>122.97820000000002</v>
      </c>
      <c r="M21" s="43">
        <f t="shared" si="5"/>
        <v>1413.9782</v>
      </c>
      <c r="N21" s="43">
        <f t="shared" si="6"/>
        <v>-663.02179999999998</v>
      </c>
    </row>
    <row r="22" spans="1:15" x14ac:dyDescent="0.2">
      <c r="A22" s="6">
        <v>15</v>
      </c>
      <c r="B22" s="38">
        <v>5.49</v>
      </c>
      <c r="C22" s="6">
        <v>1</v>
      </c>
      <c r="D22" s="38">
        <v>0</v>
      </c>
      <c r="E22" s="39">
        <v>543</v>
      </c>
      <c r="F22" s="39">
        <v>531</v>
      </c>
      <c r="G22" s="39">
        <v>530</v>
      </c>
      <c r="H22" s="40">
        <f t="shared" si="0"/>
        <v>1604</v>
      </c>
      <c r="I22" s="9">
        <f t="shared" si="1"/>
        <v>1537.8582000000001</v>
      </c>
      <c r="J22" s="41">
        <f t="shared" si="2"/>
        <v>-66.141799999999876</v>
      </c>
      <c r="K22" s="42">
        <f t="shared" si="3"/>
        <v>1413.9782</v>
      </c>
      <c r="L22" s="42">
        <f t="shared" si="4"/>
        <v>-190.02179999999998</v>
      </c>
      <c r="M22" s="43">
        <f t="shared" si="5"/>
        <v>1537.8582000000001</v>
      </c>
      <c r="N22" s="43">
        <f t="shared" si="6"/>
        <v>-66.141799999999876</v>
      </c>
    </row>
    <row r="23" spans="1:15" x14ac:dyDescent="0.2">
      <c r="A23" s="6">
        <v>16</v>
      </c>
      <c r="B23" s="38">
        <v>5.49</v>
      </c>
      <c r="C23" s="6">
        <v>1</v>
      </c>
      <c r="D23" s="38">
        <v>150</v>
      </c>
      <c r="E23" s="39">
        <v>767</v>
      </c>
      <c r="F23" s="39">
        <v>743</v>
      </c>
      <c r="G23" s="39">
        <v>779</v>
      </c>
      <c r="H23" s="40">
        <f t="shared" si="0"/>
        <v>2289</v>
      </c>
      <c r="I23" s="9">
        <f t="shared" si="1"/>
        <v>2323.8582000000001</v>
      </c>
      <c r="J23" s="41">
        <f t="shared" si="2"/>
        <v>34.858200000000124</v>
      </c>
      <c r="K23" s="42">
        <f t="shared" si="3"/>
        <v>2199.9782</v>
      </c>
      <c r="L23" s="42">
        <f t="shared" si="4"/>
        <v>-89.021799999999985</v>
      </c>
      <c r="M23" s="43">
        <f t="shared" si="5"/>
        <v>1537.8582000000001</v>
      </c>
      <c r="N23" s="43">
        <f t="shared" si="6"/>
        <v>-751.14179999999988</v>
      </c>
    </row>
    <row r="25" spans="1:15" x14ac:dyDescent="0.2">
      <c r="D25" s="5"/>
      <c r="E25" s="44"/>
      <c r="F25" s="44"/>
      <c r="G25" s="44"/>
      <c r="I25" s="76" t="s">
        <v>271</v>
      </c>
      <c r="J25" s="76"/>
      <c r="K25" s="76"/>
      <c r="L25" s="76"/>
      <c r="M25" s="76"/>
      <c r="N25" s="76"/>
      <c r="O25" s="76"/>
    </row>
  </sheetData>
  <mergeCells count="1">
    <mergeCell ref="E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/>
  </sheetViews>
  <sheetFormatPr baseColWidth="10" defaultColWidth="8.83203125" defaultRowHeight="16" x14ac:dyDescent="0.2"/>
  <cols>
    <col min="1" max="1" width="6.33203125" style="4" customWidth="1"/>
    <col min="2" max="2" width="18.5" style="4" bestFit="1" customWidth="1"/>
    <col min="3" max="3" width="13.5" style="4" bestFit="1" customWidth="1"/>
    <col min="4" max="16384" width="8.83203125" style="4"/>
  </cols>
  <sheetData>
    <row r="1" spans="1:4" x14ac:dyDescent="0.2">
      <c r="A1" s="3" t="s">
        <v>48</v>
      </c>
    </row>
    <row r="2" spans="1:4" x14ac:dyDescent="0.2">
      <c r="A2" s="3"/>
    </row>
    <row r="3" spans="1:4" x14ac:dyDescent="0.2">
      <c r="A3" s="4" t="s">
        <v>0</v>
      </c>
    </row>
    <row r="5" spans="1:4" x14ac:dyDescent="0.2">
      <c r="A5" s="10" t="s">
        <v>1</v>
      </c>
      <c r="B5" s="11">
        <v>367</v>
      </c>
      <c r="D5" s="4" t="s">
        <v>2</v>
      </c>
    </row>
    <row r="7" spans="1:4" x14ac:dyDescent="0.2">
      <c r="B7" s="8">
        <v>1300</v>
      </c>
      <c r="D7" s="4" t="s">
        <v>3</v>
      </c>
    </row>
    <row r="9" spans="1:4" x14ac:dyDescent="0.2">
      <c r="B9" s="8">
        <v>0.11600000000000001</v>
      </c>
      <c r="D9" s="4" t="s">
        <v>4</v>
      </c>
    </row>
    <row r="12" spans="1:4" x14ac:dyDescent="0.2">
      <c r="A12" s="10" t="s">
        <v>5</v>
      </c>
      <c r="B12" s="10" t="s">
        <v>6</v>
      </c>
      <c r="C12" s="4">
        <v>32</v>
      </c>
      <c r="D12" s="12" t="s">
        <v>9</v>
      </c>
    </row>
    <row r="13" spans="1:4" x14ac:dyDescent="0.2">
      <c r="B13" s="10"/>
    </row>
    <row r="14" spans="1:4" x14ac:dyDescent="0.2">
      <c r="B14" s="10" t="s">
        <v>7</v>
      </c>
      <c r="C14" s="4">
        <v>16</v>
      </c>
      <c r="D14" s="4" t="s">
        <v>10</v>
      </c>
    </row>
    <row r="15" spans="1:4" x14ac:dyDescent="0.2">
      <c r="B15" s="10"/>
    </row>
    <row r="16" spans="1:4" x14ac:dyDescent="0.2">
      <c r="B16" s="10" t="s">
        <v>8</v>
      </c>
      <c r="C16" s="13">
        <v>150000</v>
      </c>
    </row>
    <row r="17" spans="2:3" ht="17" thickBot="1" x14ac:dyDescent="0.25">
      <c r="B17" s="10"/>
    </row>
    <row r="18" spans="2:3" ht="17" thickBot="1" x14ac:dyDescent="0.25">
      <c r="B18" s="10" t="s">
        <v>11</v>
      </c>
      <c r="C18" s="14">
        <f>-17732+367*C12+1300*C14+0.116*C16</f>
        <v>32212</v>
      </c>
    </row>
  </sheetData>
  <customSheetViews>
    <customSheetView guid="{AF9B499A-CFA5-4E76-B3DA-A02CB2931756}">
      <selection activeCell="B7" sqref="B7"/>
      <pageMargins left="0.7" right="0.7" top="0.75" bottom="0.75" header="0.3" footer="0.3"/>
    </customSheetView>
    <customSheetView guid="{84AD1FC9-1D54-4CF5-8568-C97DE11A5CD2}" topLeftCell="A3">
      <selection activeCell="A3" sqref="A3"/>
      <pageMargins left="0.7" right="0.7" top="0.75" bottom="0.75" header="0.3" footer="0.3"/>
    </customSheetView>
    <customSheetView guid="{2FF1250F-24F0-45EB-B0FF-E663C210EB95}" topLeftCell="A3">
      <selection activeCell="A24" sqref="A24"/>
      <pageMargins left="0.7" right="0.7" top="0.75" bottom="0.75" header="0.3" footer="0.3"/>
    </customSheetView>
    <customSheetView guid="{56AF3BB6-958F-BF40-8163-F038875C20D8}" topLeftCell="A3">
      <selection activeCell="A3" sqref="A3"/>
      <pageMargins left="0.7" right="0.7" top="0.75" bottom="0.75" header="0.3" footer="0.3"/>
    </customSheetView>
    <customSheetView guid="{7ED021FD-8147-EA42-B54F-8D7F27448679}" topLeftCell="A3">
      <selection activeCell="A3" sqref="A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/>
  </sheetViews>
  <sheetFormatPr baseColWidth="10" defaultColWidth="8.83203125" defaultRowHeight="16" x14ac:dyDescent="0.2"/>
  <cols>
    <col min="1" max="16384" width="8.83203125" style="4"/>
  </cols>
  <sheetData>
    <row r="1" spans="1:3" x14ac:dyDescent="0.2">
      <c r="A1" s="3" t="s">
        <v>83</v>
      </c>
    </row>
    <row r="2" spans="1:3" x14ac:dyDescent="0.2">
      <c r="A2" s="3"/>
    </row>
    <row r="3" spans="1:3" x14ac:dyDescent="0.2">
      <c r="A3" s="4" t="s">
        <v>12</v>
      </c>
    </row>
    <row r="5" spans="1:3" x14ac:dyDescent="0.2">
      <c r="A5" s="10" t="s">
        <v>13</v>
      </c>
      <c r="B5" s="15" t="s">
        <v>14</v>
      </c>
      <c r="C5" s="4" t="s">
        <v>15</v>
      </c>
    </row>
    <row r="6" spans="1:3" x14ac:dyDescent="0.2">
      <c r="B6" s="15"/>
    </row>
    <row r="7" spans="1:3" x14ac:dyDescent="0.2">
      <c r="B7" s="15" t="s">
        <v>16</v>
      </c>
      <c r="C7" s="4" t="s">
        <v>19</v>
      </c>
    </row>
    <row r="8" spans="1:3" x14ac:dyDescent="0.2">
      <c r="B8" s="15"/>
    </row>
    <row r="9" spans="1:3" x14ac:dyDescent="0.2">
      <c r="B9" s="15" t="s">
        <v>17</v>
      </c>
      <c r="C9" s="4" t="s">
        <v>20</v>
      </c>
    </row>
    <row r="10" spans="1:3" x14ac:dyDescent="0.2">
      <c r="B10" s="15"/>
    </row>
    <row r="11" spans="1:3" x14ac:dyDescent="0.2">
      <c r="B11" s="15" t="s">
        <v>18</v>
      </c>
      <c r="C11" s="4" t="s">
        <v>21</v>
      </c>
    </row>
    <row r="13" spans="1:3" x14ac:dyDescent="0.2">
      <c r="A13" s="10" t="s">
        <v>5</v>
      </c>
      <c r="B13" s="4" t="s">
        <v>272</v>
      </c>
    </row>
    <row r="14" spans="1:3" x14ac:dyDescent="0.2">
      <c r="A14" s="10"/>
    </row>
    <row r="15" spans="1:3" x14ac:dyDescent="0.2">
      <c r="A15" s="10" t="s">
        <v>22</v>
      </c>
      <c r="B15" s="4" t="s">
        <v>23</v>
      </c>
    </row>
    <row r="16" spans="1:3" x14ac:dyDescent="0.2">
      <c r="B16" s="4" t="s">
        <v>24</v>
      </c>
    </row>
  </sheetData>
  <customSheetViews>
    <customSheetView guid="{AF9B499A-CFA5-4E76-B3DA-A02CB2931756}">
      <selection activeCell="C14" sqref="C14"/>
      <pageMargins left="0.7" right="0.7" top="0.75" bottom="0.75" header="0.3" footer="0.3"/>
    </customSheetView>
    <customSheetView guid="{84AD1FC9-1D54-4CF5-8568-C97DE11A5CD2}">
      <selection activeCell="A15" sqref="A15"/>
      <pageMargins left="0.7" right="0.7" top="0.75" bottom="0.75" header="0.3" footer="0.3"/>
    </customSheetView>
    <customSheetView guid="{2FF1250F-24F0-45EB-B0FF-E663C210EB95}">
      <selection activeCell="A24" sqref="A24"/>
      <pageMargins left="0.7" right="0.7" top="0.75" bottom="0.75" header="0.3" footer="0.3"/>
    </customSheetView>
    <customSheetView guid="{56AF3BB6-958F-BF40-8163-F038875C20D8}">
      <selection activeCell="A15" sqref="A15"/>
      <pageMargins left="0.7" right="0.7" top="0.75" bottom="0.75" header="0.3" footer="0.3"/>
    </customSheetView>
    <customSheetView guid="{7ED021FD-8147-EA42-B54F-8D7F27448679}">
      <selection activeCell="A15" sqref="A1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/>
  </sheetViews>
  <sheetFormatPr baseColWidth="10" defaultColWidth="8.83203125" defaultRowHeight="16" x14ac:dyDescent="0.2"/>
  <cols>
    <col min="1" max="16384" width="8.83203125" style="4"/>
  </cols>
  <sheetData>
    <row r="1" spans="1:10" ht="17" thickBot="1" x14ac:dyDescent="0.25">
      <c r="A1" s="3" t="s">
        <v>49</v>
      </c>
    </row>
    <row r="2" spans="1:10" ht="17" thickBot="1" x14ac:dyDescent="0.25">
      <c r="F2" s="158" t="s">
        <v>26</v>
      </c>
      <c r="G2" s="159"/>
      <c r="H2" s="159"/>
      <c r="I2" s="159"/>
      <c r="J2" s="160"/>
    </row>
    <row r="3" spans="1:10" ht="17" thickBot="1" x14ac:dyDescent="0.25">
      <c r="B3" s="20" t="s">
        <v>25</v>
      </c>
      <c r="C3" s="20">
        <v>10</v>
      </c>
      <c r="E3" s="20" t="s">
        <v>27</v>
      </c>
      <c r="F3" s="21">
        <v>-0.25</v>
      </c>
      <c r="G3" s="21">
        <v>0</v>
      </c>
      <c r="H3" s="21">
        <v>0.5</v>
      </c>
      <c r="I3" s="21">
        <v>1</v>
      </c>
      <c r="J3" s="22">
        <v>1.5</v>
      </c>
    </row>
    <row r="4" spans="1:10" x14ac:dyDescent="0.2">
      <c r="E4" s="23">
        <v>0.25</v>
      </c>
      <c r="F4" s="24">
        <f t="shared" ref="F4:J13" si="0">$C$3*$E4^F$3</f>
        <v>14.142135623730949</v>
      </c>
      <c r="G4" s="25">
        <f t="shared" si="0"/>
        <v>10</v>
      </c>
      <c r="H4" s="25">
        <f t="shared" si="0"/>
        <v>5</v>
      </c>
      <c r="I4" s="25">
        <f t="shared" si="0"/>
        <v>2.5</v>
      </c>
      <c r="J4" s="26">
        <f t="shared" si="0"/>
        <v>1.2500000000000002</v>
      </c>
    </row>
    <row r="5" spans="1:10" x14ac:dyDescent="0.2">
      <c r="A5" s="4" t="s">
        <v>273</v>
      </c>
      <c r="E5" s="23">
        <v>0.5</v>
      </c>
      <c r="F5" s="23">
        <f t="shared" si="0"/>
        <v>11.89207115002721</v>
      </c>
      <c r="G5" s="27">
        <f t="shared" si="0"/>
        <v>10</v>
      </c>
      <c r="H5" s="27">
        <f t="shared" si="0"/>
        <v>7.0710678118654755</v>
      </c>
      <c r="I5" s="27">
        <f t="shared" si="0"/>
        <v>5</v>
      </c>
      <c r="J5" s="28">
        <f t="shared" si="0"/>
        <v>3.5355339059327378</v>
      </c>
    </row>
    <row r="6" spans="1:10" x14ac:dyDescent="0.2">
      <c r="A6" s="4" t="s">
        <v>274</v>
      </c>
      <c r="E6" s="23">
        <v>0.75</v>
      </c>
      <c r="F6" s="23">
        <f t="shared" si="0"/>
        <v>10.74569931823542</v>
      </c>
      <c r="G6" s="27">
        <f t="shared" si="0"/>
        <v>10</v>
      </c>
      <c r="H6" s="27">
        <f t="shared" si="0"/>
        <v>8.6602540378443855</v>
      </c>
      <c r="I6" s="27">
        <f t="shared" si="0"/>
        <v>7.5</v>
      </c>
      <c r="J6" s="28">
        <f t="shared" si="0"/>
        <v>6.49519052838329</v>
      </c>
    </row>
    <row r="7" spans="1:10" x14ac:dyDescent="0.2">
      <c r="A7" s="4" t="s">
        <v>275</v>
      </c>
      <c r="E7" s="23">
        <v>1</v>
      </c>
      <c r="F7" s="23">
        <f t="shared" si="0"/>
        <v>10</v>
      </c>
      <c r="G7" s="27">
        <f t="shared" si="0"/>
        <v>10</v>
      </c>
      <c r="H7" s="27">
        <f t="shared" si="0"/>
        <v>10</v>
      </c>
      <c r="I7" s="27">
        <f t="shared" si="0"/>
        <v>10</v>
      </c>
      <c r="J7" s="28">
        <f t="shared" si="0"/>
        <v>10</v>
      </c>
    </row>
    <row r="8" spans="1:10" x14ac:dyDescent="0.2">
      <c r="E8" s="23">
        <v>1.25</v>
      </c>
      <c r="F8" s="23">
        <f t="shared" si="0"/>
        <v>9.4574160900317583</v>
      </c>
      <c r="G8" s="27">
        <f t="shared" si="0"/>
        <v>10</v>
      </c>
      <c r="H8" s="27">
        <f t="shared" si="0"/>
        <v>11.180339887498949</v>
      </c>
      <c r="I8" s="27">
        <f t="shared" si="0"/>
        <v>12.5</v>
      </c>
      <c r="J8" s="28">
        <f t="shared" si="0"/>
        <v>13.975424859373685</v>
      </c>
    </row>
    <row r="9" spans="1:10" x14ac:dyDescent="0.2">
      <c r="E9" s="23">
        <v>1.5</v>
      </c>
      <c r="F9" s="23">
        <f t="shared" si="0"/>
        <v>9.0360200360984475</v>
      </c>
      <c r="G9" s="27">
        <f t="shared" si="0"/>
        <v>10</v>
      </c>
      <c r="H9" s="27">
        <f t="shared" si="0"/>
        <v>12.24744871391589</v>
      </c>
      <c r="I9" s="27">
        <f t="shared" si="0"/>
        <v>15</v>
      </c>
      <c r="J9" s="28">
        <f t="shared" si="0"/>
        <v>18.371173070873837</v>
      </c>
    </row>
    <row r="10" spans="1:10" x14ac:dyDescent="0.2">
      <c r="E10" s="23">
        <v>1.75</v>
      </c>
      <c r="F10" s="23">
        <f t="shared" si="0"/>
        <v>8.6944174388998281</v>
      </c>
      <c r="G10" s="27">
        <f t="shared" si="0"/>
        <v>10</v>
      </c>
      <c r="H10" s="27">
        <f t="shared" si="0"/>
        <v>13.228756555322953</v>
      </c>
      <c r="I10" s="27">
        <f t="shared" si="0"/>
        <v>17.5</v>
      </c>
      <c r="J10" s="28">
        <f t="shared" si="0"/>
        <v>23.150323971815165</v>
      </c>
    </row>
    <row r="11" spans="1:10" x14ac:dyDescent="0.2">
      <c r="E11" s="23">
        <v>2</v>
      </c>
      <c r="F11" s="23">
        <f t="shared" si="0"/>
        <v>8.4089641525371466</v>
      </c>
      <c r="G11" s="27">
        <f t="shared" si="0"/>
        <v>10</v>
      </c>
      <c r="H11" s="27">
        <f t="shared" si="0"/>
        <v>14.142135623730951</v>
      </c>
      <c r="I11" s="27">
        <f t="shared" si="0"/>
        <v>20</v>
      </c>
      <c r="J11" s="28">
        <f t="shared" si="0"/>
        <v>28.284271247461898</v>
      </c>
    </row>
    <row r="12" spans="1:10" x14ac:dyDescent="0.2">
      <c r="E12" s="23">
        <v>2.25</v>
      </c>
      <c r="F12" s="23">
        <f t="shared" si="0"/>
        <v>8.1649658092772608</v>
      </c>
      <c r="G12" s="27">
        <f t="shared" si="0"/>
        <v>10</v>
      </c>
      <c r="H12" s="27">
        <f t="shared" si="0"/>
        <v>15</v>
      </c>
      <c r="I12" s="27">
        <f t="shared" si="0"/>
        <v>22.5</v>
      </c>
      <c r="J12" s="28">
        <f t="shared" si="0"/>
        <v>33.75</v>
      </c>
    </row>
    <row r="13" spans="1:10" ht="17" thickBot="1" x14ac:dyDescent="0.25">
      <c r="E13" s="29">
        <v>2.5</v>
      </c>
      <c r="F13" s="29">
        <f t="shared" si="0"/>
        <v>7.9527072876705063</v>
      </c>
      <c r="G13" s="30">
        <f t="shared" si="0"/>
        <v>10</v>
      </c>
      <c r="H13" s="30">
        <f t="shared" si="0"/>
        <v>15.811388300841898</v>
      </c>
      <c r="I13" s="30">
        <f t="shared" si="0"/>
        <v>25</v>
      </c>
      <c r="J13" s="31">
        <f t="shared" si="0"/>
        <v>39.528470752104745</v>
      </c>
    </row>
    <row r="15" spans="1:10" x14ac:dyDescent="0.2">
      <c r="A15" s="4" t="s">
        <v>52</v>
      </c>
    </row>
    <row r="16" spans="1:10" x14ac:dyDescent="0.2">
      <c r="A16" s="4" t="s">
        <v>53</v>
      </c>
    </row>
    <row r="18" spans="2:2" x14ac:dyDescent="0.2">
      <c r="B18" s="4" t="s">
        <v>28</v>
      </c>
    </row>
    <row r="19" spans="2:2" x14ac:dyDescent="0.2">
      <c r="B19" s="4" t="s">
        <v>29</v>
      </c>
    </row>
    <row r="20" spans="2:2" x14ac:dyDescent="0.2">
      <c r="B20" s="4" t="s">
        <v>30</v>
      </c>
    </row>
    <row r="21" spans="2:2" x14ac:dyDescent="0.2">
      <c r="B21" s="4" t="s">
        <v>31</v>
      </c>
    </row>
    <row r="22" spans="2:2" x14ac:dyDescent="0.2">
      <c r="B22" s="4" t="s">
        <v>32</v>
      </c>
    </row>
    <row r="24" spans="2:2" x14ac:dyDescent="0.2">
      <c r="B24" s="4" t="s">
        <v>33</v>
      </c>
    </row>
    <row r="25" spans="2:2" x14ac:dyDescent="0.2">
      <c r="B25" s="4" t="s">
        <v>34</v>
      </c>
    </row>
    <row r="27" spans="2:2" x14ac:dyDescent="0.2">
      <c r="B27" s="4" t="s">
        <v>35</v>
      </c>
    </row>
    <row r="28" spans="2:2" x14ac:dyDescent="0.2">
      <c r="B28" s="4" t="s">
        <v>36</v>
      </c>
    </row>
    <row r="29" spans="2:2" x14ac:dyDescent="0.2">
      <c r="B29" s="4" t="s">
        <v>37</v>
      </c>
    </row>
  </sheetData>
  <customSheetViews>
    <customSheetView guid="{AF9B499A-CFA5-4E76-B3DA-A02CB2931756}">
      <selection activeCell="B11" sqref="B11"/>
      <pageMargins left="0.7" right="0.7" top="0.75" bottom="0.75" header="0.3" footer="0.3"/>
    </customSheetView>
    <customSheetView guid="{84AD1FC9-1D54-4CF5-8568-C97DE11A5CD2}">
      <selection activeCell="F4" sqref="F4"/>
      <pageMargins left="0.7" right="0.7" top="0.75" bottom="0.75" header="0.3" footer="0.3"/>
    </customSheetView>
    <customSheetView guid="{2FF1250F-24F0-45EB-B0FF-E663C210EB95}">
      <selection activeCell="F4" sqref="F4"/>
      <pageMargins left="0.7" right="0.7" top="0.75" bottom="0.75" header="0.3" footer="0.3"/>
    </customSheetView>
    <customSheetView guid="{56AF3BB6-958F-BF40-8163-F038875C20D8}">
      <selection activeCell="F4" sqref="F4"/>
      <pageMargins left="0.7" right="0.7" top="0.75" bottom="0.75" header="0.3" footer="0.3"/>
    </customSheetView>
    <customSheetView guid="{7ED021FD-8147-EA42-B54F-8D7F27448679}">
      <selection activeCell="F4" sqref="F4"/>
      <pageMargins left="0.7" right="0.7" top="0.75" bottom="0.75" header="0.3" footer="0.3"/>
    </customSheetView>
  </customSheetViews>
  <mergeCells count="1">
    <mergeCell ref="F2:J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1.10</vt:lpstr>
      <vt:lpstr>1.11</vt:lpstr>
      <vt:lpstr>1.12</vt:lpstr>
      <vt:lpstr>A1.1</vt:lpstr>
      <vt:lpstr>A1.2</vt:lpstr>
      <vt:lpstr>A1.3</vt:lpstr>
      <vt:lpstr>A1.4</vt:lpstr>
      <vt:lpstr>A1.5</vt:lpstr>
      <vt:lpstr>A1.6</vt:lpstr>
      <vt:lpstr>A1.7</vt:lpstr>
      <vt:lpstr>A1.8</vt:lpstr>
      <vt:lpstr>A1.9</vt:lpstr>
      <vt:lpstr>A1.10</vt:lpstr>
      <vt:lpstr>A1.11</vt:lpstr>
      <vt:lpstr>A1.12</vt:lpstr>
      <vt:lpstr>A1.13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Ozgur Ozluk</dc:creator>
  <cp:lastModifiedBy>Microsoft Office User</cp:lastModifiedBy>
  <dcterms:created xsi:type="dcterms:W3CDTF">2012-01-03T16:38:17Z</dcterms:created>
  <dcterms:modified xsi:type="dcterms:W3CDTF">2018-11-17T14:09:41Z</dcterms:modified>
</cp:coreProperties>
</file>